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N:\1_Energia\1_Sector_energetic\3_Seguiment_i_control\99_Balanç_energètic_nacional\Documents de treball\BEN\electric\"/>
    </mc:Choice>
  </mc:AlternateContent>
  <xr:revisionPtr revIDLastSave="0" documentId="13_ncr:1_{23BB721C-9FDD-4248-A826-992AECCB0F18}" xr6:coauthVersionLast="47" xr6:coauthVersionMax="47" xr10:uidLastSave="{00000000-0000-0000-0000-000000000000}"/>
  <bookViews>
    <workbookView xWindow="-108" yWindow="-108" windowWidth="23256" windowHeight="12456" firstSheet="2" activeTab="2" xr2:uid="{E9713818-5291-4955-B0CF-95D54A6DAA19}"/>
  </bookViews>
  <sheets>
    <sheet name="Potència" sheetId="2" r:id="rId1"/>
    <sheet name="Produccio" sheetId="1" r:id="rId2"/>
    <sheet name="Produccio2_dades_OECC" sheetId="6" r:id="rId3"/>
    <sheet name="Power_BI" sheetId="12" r:id="rId4"/>
    <sheet name="Gràfics" sheetId="11" r:id="rId5"/>
    <sheet name="dades_FEDA" sheetId="10" r:id="rId6"/>
    <sheet name="comparativa BEN amb FEDA" sheetId="4" r:id="rId7"/>
    <sheet name="situacio_hidro" sheetId="7" r:id="rId8"/>
    <sheet name="situacio_FV" sheetId="8" r:id="rId9"/>
    <sheet name="situacio_cogen" sheetId="9" r:id="rId10"/>
    <sheet name="PN" sheetId="3"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 i="6" l="1"/>
  <c r="H7" i="6"/>
  <c r="G7" i="6"/>
  <c r="H6" i="6"/>
  <c r="H12" i="6"/>
  <c r="H17" i="6"/>
  <c r="F28" i="6"/>
  <c r="Q34" i="1"/>
  <c r="B5" i="6"/>
  <c r="B19" i="6"/>
  <c r="B12" i="6"/>
  <c r="B9" i="6"/>
  <c r="B27" i="6"/>
  <c r="D27" i="6"/>
  <c r="E27" i="6"/>
  <c r="B13" i="6"/>
  <c r="G34" i="6"/>
  <c r="G37" i="6"/>
  <c r="G38" i="6"/>
  <c r="G39" i="6"/>
  <c r="G41" i="6"/>
  <c r="G42" i="6"/>
  <c r="G43" i="6"/>
  <c r="G44" i="6"/>
  <c r="G45" i="6"/>
  <c r="G46" i="6"/>
  <c r="F17" i="11"/>
  <c r="G17" i="11" s="1"/>
  <c r="G16" i="11"/>
  <c r="B78" i="11"/>
  <c r="C78" i="11"/>
  <c r="D78" i="11"/>
  <c r="E78" i="11"/>
  <c r="F78" i="11"/>
  <c r="C77" i="11"/>
  <c r="D77" i="11"/>
  <c r="D76" i="11" s="1"/>
  <c r="E77" i="11"/>
  <c r="F77" i="11"/>
  <c r="B77" i="11"/>
  <c r="B76" i="11" s="1"/>
  <c r="B74" i="11"/>
  <c r="C74" i="11"/>
  <c r="D74" i="11"/>
  <c r="E74" i="11"/>
  <c r="F74" i="11"/>
  <c r="B75" i="11"/>
  <c r="C75" i="11"/>
  <c r="D75" i="11"/>
  <c r="E75" i="11"/>
  <c r="F75" i="11"/>
  <c r="C73" i="11"/>
  <c r="D73" i="11"/>
  <c r="E73" i="11"/>
  <c r="F73" i="11"/>
  <c r="B73" i="11"/>
  <c r="G11" i="11"/>
  <c r="G10" i="11"/>
  <c r="G7" i="11"/>
  <c r="G8" i="11"/>
  <c r="G6" i="11"/>
  <c r="F49" i="11"/>
  <c r="E49" i="11"/>
  <c r="D49" i="11"/>
  <c r="C49" i="11"/>
  <c r="B49" i="11"/>
  <c r="F42" i="11"/>
  <c r="E42" i="11"/>
  <c r="D42" i="11"/>
  <c r="C42" i="11"/>
  <c r="B42" i="11"/>
  <c r="F28" i="11"/>
  <c r="E28" i="11"/>
  <c r="D28" i="11"/>
  <c r="C28" i="11"/>
  <c r="B28" i="11"/>
  <c r="F20" i="11"/>
  <c r="E20" i="11"/>
  <c r="D20" i="11"/>
  <c r="C20" i="11"/>
  <c r="B20" i="11"/>
  <c r="F9" i="11"/>
  <c r="G9" i="11" s="1"/>
  <c r="E9" i="11"/>
  <c r="D9" i="11"/>
  <c r="C9" i="11"/>
  <c r="B9" i="11"/>
  <c r="F5" i="11"/>
  <c r="G5" i="11" s="1"/>
  <c r="E5" i="11"/>
  <c r="D5" i="11"/>
  <c r="C5" i="11"/>
  <c r="B5" i="11"/>
  <c r="E40" i="12" l="1"/>
  <c r="E42" i="12" s="1"/>
  <c r="C76" i="11"/>
  <c r="E76" i="11"/>
  <c r="B72" i="11"/>
  <c r="F76" i="11"/>
  <c r="B79" i="11"/>
  <c r="F72" i="11"/>
  <c r="F79" i="11" s="1"/>
  <c r="D72" i="11"/>
  <c r="D79" i="11" s="1"/>
  <c r="C72" i="11"/>
  <c r="C79" i="11" s="1"/>
  <c r="E72" i="11"/>
  <c r="E79" i="11"/>
  <c r="B12" i="11"/>
  <c r="B13" i="11" s="1"/>
  <c r="B14" i="11" s="1"/>
  <c r="E12" i="11"/>
  <c r="E13" i="11" s="1"/>
  <c r="E14" i="11" s="1"/>
  <c r="C12" i="11"/>
  <c r="C13" i="11" s="1"/>
  <c r="C14" i="11" s="1"/>
  <c r="E27" i="11"/>
  <c r="E63" i="11" s="1"/>
  <c r="E65" i="11" s="1"/>
  <c r="B27" i="11"/>
  <c r="B22" i="11" s="1"/>
  <c r="B23" i="11" s="1"/>
  <c r="D12" i="11"/>
  <c r="C27" i="11"/>
  <c r="D27" i="11"/>
  <c r="D22" i="11" s="1"/>
  <c r="D23" i="11" s="1"/>
  <c r="C22" i="11"/>
  <c r="C23" i="11" s="1"/>
  <c r="D13" i="11"/>
  <c r="D14" i="11" s="1"/>
  <c r="F12" i="11"/>
  <c r="F27" i="11"/>
  <c r="E22" i="11" l="1"/>
  <c r="E23" i="11" s="1"/>
  <c r="B24" i="11"/>
  <c r="B25" i="11" s="1"/>
  <c r="D24" i="11"/>
  <c r="D25" i="11" s="1"/>
  <c r="F13" i="11"/>
  <c r="E24" i="11"/>
  <c r="E25" i="11" s="1"/>
  <c r="C24" i="11"/>
  <c r="C25" i="11" s="1"/>
  <c r="F22" i="11"/>
  <c r="F23" i="11" s="1"/>
  <c r="F14" i="11" l="1"/>
  <c r="F24" i="11"/>
  <c r="F25" i="11" s="1"/>
  <c r="F14" i="8" l="1"/>
  <c r="F15" i="8"/>
  <c r="C19" i="6" l="1"/>
  <c r="B14" i="8" l="1"/>
  <c r="M33" i="1"/>
  <c r="E19" i="6"/>
  <c r="F7" i="3" l="1"/>
  <c r="F8" i="9"/>
  <c r="B15" i="9" l="1"/>
  <c r="C15" i="9"/>
  <c r="D15" i="9"/>
  <c r="E15" i="9"/>
  <c r="F15" i="9"/>
  <c r="E19" i="9"/>
  <c r="D19" i="9"/>
  <c r="C19" i="9"/>
  <c r="B19" i="9"/>
  <c r="F19" i="9"/>
  <c r="B18" i="9"/>
  <c r="C18" i="9"/>
  <c r="D18" i="9"/>
  <c r="E18" i="9"/>
  <c r="F18" i="9"/>
  <c r="B10" i="9"/>
  <c r="C10" i="9"/>
  <c r="D10" i="9"/>
  <c r="E10" i="9"/>
  <c r="F10" i="9"/>
  <c r="B8" i="9"/>
  <c r="C8" i="9"/>
  <c r="D8" i="9"/>
  <c r="E8" i="9"/>
  <c r="E8" i="8"/>
  <c r="F9" i="8"/>
  <c r="C15" i="8"/>
  <c r="D15" i="8"/>
  <c r="E15" i="8"/>
  <c r="B15" i="8"/>
  <c r="C14" i="8"/>
  <c r="D14" i="8"/>
  <c r="E14" i="8"/>
  <c r="F5" i="8"/>
  <c r="G4" i="8"/>
  <c r="B4" i="8"/>
  <c r="G3" i="8"/>
  <c r="B33" i="6" l="1"/>
  <c r="B47" i="6"/>
  <c r="B54" i="6"/>
  <c r="B32" i="6" l="1"/>
  <c r="C14" i="9"/>
  <c r="C17" i="9" s="1"/>
  <c r="D14" i="9"/>
  <c r="D17" i="9" s="1"/>
  <c r="E14" i="9"/>
  <c r="E17" i="9" s="1"/>
  <c r="F14" i="9"/>
  <c r="F17" i="9" s="1"/>
  <c r="B14" i="9"/>
  <c r="B17" i="9" s="1"/>
  <c r="F5" i="9"/>
  <c r="E5" i="9"/>
  <c r="D5" i="9"/>
  <c r="C5" i="9"/>
  <c r="B5" i="9"/>
  <c r="F4" i="9"/>
  <c r="E4" i="9"/>
  <c r="D4" i="9"/>
  <c r="C4" i="9"/>
  <c r="B4" i="9"/>
  <c r="C13" i="8" l="1"/>
  <c r="D13" i="8"/>
  <c r="E13" i="8"/>
  <c r="F13" i="8"/>
  <c r="B13" i="8"/>
  <c r="C9" i="8"/>
  <c r="D9" i="8"/>
  <c r="E9" i="8"/>
  <c r="B9" i="8"/>
  <c r="C8" i="8"/>
  <c r="D8" i="8"/>
  <c r="B8" i="8"/>
  <c r="C4" i="8" l="1"/>
  <c r="D4" i="8"/>
  <c r="E4" i="8"/>
  <c r="M31" i="1"/>
  <c r="M30" i="1"/>
  <c r="N7" i="7"/>
  <c r="L7" i="7"/>
  <c r="K7" i="7"/>
  <c r="N6" i="7"/>
  <c r="N5" i="7"/>
  <c r="N4" i="7"/>
  <c r="N3" i="7"/>
  <c r="K2" i="7"/>
  <c r="F8" i="8" l="1"/>
  <c r="G59" i="6" l="1"/>
  <c r="G58" i="6"/>
  <c r="G57" i="6"/>
  <c r="G56" i="6"/>
  <c r="G55" i="6"/>
  <c r="F54" i="6"/>
  <c r="E54" i="6"/>
  <c r="D54" i="6"/>
  <c r="C54" i="6"/>
  <c r="G53" i="6"/>
  <c r="G50" i="6"/>
  <c r="G48" i="6"/>
  <c r="F47" i="6"/>
  <c r="E47" i="6"/>
  <c r="D47" i="6"/>
  <c r="C47" i="6"/>
  <c r="F33" i="6"/>
  <c r="E33" i="6"/>
  <c r="D33" i="6"/>
  <c r="C33" i="6"/>
  <c r="F23" i="6"/>
  <c r="E23" i="6"/>
  <c r="D23" i="6"/>
  <c r="C23" i="6"/>
  <c r="B23" i="6"/>
  <c r="F19" i="6"/>
  <c r="D19" i="6"/>
  <c r="G17" i="6"/>
  <c r="G16" i="6"/>
  <c r="H15" i="6"/>
  <c r="G15" i="6"/>
  <c r="G11" i="6"/>
  <c r="G10" i="6"/>
  <c r="F9" i="6"/>
  <c r="E9" i="6"/>
  <c r="D9" i="6"/>
  <c r="C9" i="6"/>
  <c r="G8" i="6"/>
  <c r="G6" i="6"/>
  <c r="F5" i="6"/>
  <c r="D5" i="6"/>
  <c r="C5" i="6"/>
  <c r="C32" i="6" l="1"/>
  <c r="C27" i="6" s="1"/>
  <c r="H8" i="6"/>
  <c r="E32" i="6"/>
  <c r="H10" i="6"/>
  <c r="G47" i="6"/>
  <c r="G19" i="6"/>
  <c r="B20" i="10"/>
  <c r="B15" i="10"/>
  <c r="B3" i="10"/>
  <c r="B12" i="10"/>
  <c r="B19" i="10"/>
  <c r="B8" i="10"/>
  <c r="B7" i="10"/>
  <c r="B18" i="10"/>
  <c r="B5" i="10"/>
  <c r="D32" i="6"/>
  <c r="D25" i="6" s="1"/>
  <c r="D26" i="6" s="1"/>
  <c r="G9" i="6"/>
  <c r="B25" i="6"/>
  <c r="B26" i="6" s="1"/>
  <c r="C12" i="6"/>
  <c r="C22" i="6" s="1"/>
  <c r="D12" i="6"/>
  <c r="D13" i="6" s="1"/>
  <c r="D14" i="6" s="1"/>
  <c r="H11" i="6"/>
  <c r="G54" i="6"/>
  <c r="G5" i="6"/>
  <c r="F12" i="6"/>
  <c r="H5" i="6" s="1"/>
  <c r="G33" i="6"/>
  <c r="F32" i="6"/>
  <c r="F25" i="6" l="1"/>
  <c r="F26" i="6" s="1"/>
  <c r="H41" i="6"/>
  <c r="H34" i="6"/>
  <c r="H37" i="6"/>
  <c r="H38" i="6"/>
  <c r="H46" i="6"/>
  <c r="H42" i="6"/>
  <c r="H43" i="6"/>
  <c r="H44" i="6"/>
  <c r="H45" i="6"/>
  <c r="H39" i="6"/>
  <c r="B4" i="10"/>
  <c r="C25" i="6"/>
  <c r="C26" i="6" s="1"/>
  <c r="D28" i="6"/>
  <c r="I17" i="10"/>
  <c r="I14" i="10"/>
  <c r="I16" i="10"/>
  <c r="B13" i="10"/>
  <c r="I15" i="10"/>
  <c r="E68" i="6"/>
  <c r="E70" i="6" s="1"/>
  <c r="E25" i="6"/>
  <c r="E26" i="6" s="1"/>
  <c r="B20" i="6"/>
  <c r="B21" i="6" s="1"/>
  <c r="B17" i="10"/>
  <c r="B2" i="10"/>
  <c r="H33" i="6"/>
  <c r="B22" i="6"/>
  <c r="C13" i="6"/>
  <c r="C14" i="6" s="1"/>
  <c r="D22" i="6"/>
  <c r="H9" i="6"/>
  <c r="G12" i="6"/>
  <c r="F13" i="6"/>
  <c r="F22" i="6"/>
  <c r="H59" i="6"/>
  <c r="H58" i="6"/>
  <c r="H57" i="6"/>
  <c r="H53" i="6"/>
  <c r="H56" i="6"/>
  <c r="H50" i="6"/>
  <c r="H55" i="6"/>
  <c r="H48" i="6"/>
  <c r="H54" i="6"/>
  <c r="H47" i="6"/>
  <c r="C28" i="6" l="1"/>
  <c r="B14" i="6"/>
  <c r="B28" i="6"/>
  <c r="G22" i="6"/>
  <c r="F14" i="6"/>
  <c r="F27" i="6" s="1"/>
  <c r="G13" i="6"/>
  <c r="G6" i="4" l="1"/>
  <c r="G4" i="4" l="1"/>
  <c r="R29" i="1" l="1"/>
  <c r="M29" i="1"/>
  <c r="P28" i="1" l="1"/>
  <c r="F31" i="4"/>
  <c r="F33" i="4" s="1"/>
  <c r="F25" i="4" s="1"/>
  <c r="F43" i="4" s="1"/>
  <c r="C34" i="4"/>
  <c r="D34" i="4"/>
  <c r="E34" i="4"/>
  <c r="F34" i="4"/>
  <c r="B34" i="4"/>
  <c r="C31" i="4"/>
  <c r="C33" i="4" s="1"/>
  <c r="C25" i="4" s="1"/>
  <c r="D31" i="4"/>
  <c r="D33" i="4" s="1"/>
  <c r="D25" i="4" s="1"/>
  <c r="E31" i="4"/>
  <c r="E33" i="4" s="1"/>
  <c r="E25" i="4" s="1"/>
  <c r="B31" i="4"/>
  <c r="B33" i="4" s="1"/>
  <c r="B25" i="4" s="1"/>
  <c r="B43" i="4" s="1"/>
  <c r="P33" i="1"/>
  <c r="P32" i="1"/>
  <c r="Q33" i="1"/>
  <c r="Q32" i="1"/>
  <c r="P31" i="1"/>
  <c r="N33" i="1"/>
  <c r="O33" i="1"/>
  <c r="M32" i="1"/>
  <c r="G45" i="4" l="1"/>
  <c r="G43" i="4"/>
  <c r="F75" i="4"/>
  <c r="E75" i="4"/>
  <c r="D75" i="4"/>
  <c r="C75" i="4"/>
  <c r="B75" i="4"/>
  <c r="F68" i="4"/>
  <c r="E68" i="4"/>
  <c r="D68" i="4"/>
  <c r="C68" i="4"/>
  <c r="B68" i="4"/>
  <c r="F54" i="4"/>
  <c r="E54" i="4"/>
  <c r="D54" i="4"/>
  <c r="C54" i="4"/>
  <c r="B54" i="4"/>
  <c r="F47" i="4"/>
  <c r="E47" i="4"/>
  <c r="D47" i="4"/>
  <c r="C47" i="4"/>
  <c r="B47" i="4"/>
  <c r="E43" i="4"/>
  <c r="D43" i="4"/>
  <c r="C43" i="4"/>
  <c r="F14" i="4"/>
  <c r="E14" i="4"/>
  <c r="D14" i="4"/>
  <c r="C14" i="4"/>
  <c r="B14" i="4"/>
  <c r="F5" i="4"/>
  <c r="E5" i="4"/>
  <c r="D5" i="4"/>
  <c r="C5" i="4"/>
  <c r="B5" i="4"/>
  <c r="Q24" i="1"/>
  <c r="P24" i="1"/>
  <c r="M28" i="1"/>
  <c r="B20" i="4" l="1"/>
  <c r="B22" i="4" s="1"/>
  <c r="B23" i="4" s="1"/>
  <c r="E53" i="4"/>
  <c r="E49" i="4" s="1"/>
  <c r="E50" i="4" s="1"/>
  <c r="E20" i="4"/>
  <c r="E22" i="4" s="1"/>
  <c r="E23" i="4" s="1"/>
  <c r="D53" i="4"/>
  <c r="D49" i="4" s="1"/>
  <c r="D50" i="4" s="1"/>
  <c r="D20" i="4"/>
  <c r="C53" i="4"/>
  <c r="C49" i="4" s="1"/>
  <c r="C50" i="4" s="1"/>
  <c r="B53" i="4"/>
  <c r="B49" i="4" s="1"/>
  <c r="B50" i="4" s="1"/>
  <c r="C20" i="4"/>
  <c r="C46" i="4" s="1"/>
  <c r="F53" i="4"/>
  <c r="B46" i="4"/>
  <c r="F20" i="4"/>
  <c r="G21" i="4" s="1"/>
  <c r="N28" i="1"/>
  <c r="D46" i="4" l="1"/>
  <c r="D22" i="4"/>
  <c r="D23" i="4"/>
  <c r="E46" i="4"/>
  <c r="C22" i="4"/>
  <c r="C23" i="4" s="1"/>
  <c r="F46" i="4"/>
  <c r="P30" i="1"/>
  <c r="O28" i="1"/>
  <c r="M24" i="1" l="1"/>
  <c r="N24" i="1" l="1"/>
  <c r="N30" i="1" s="1"/>
  <c r="O24" i="1"/>
  <c r="O30" i="1" s="1"/>
  <c r="R30" i="1" s="1"/>
  <c r="Q28" i="1" s="1"/>
  <c r="C19" i="1" l="1"/>
  <c r="D19" i="1"/>
  <c r="E19" i="1"/>
  <c r="F19" i="1"/>
  <c r="B19" i="1"/>
  <c r="N32" i="1"/>
  <c r="N34" i="1" s="1"/>
  <c r="O32" i="1"/>
  <c r="O34" i="1" s="1"/>
  <c r="P34" i="1"/>
  <c r="M34" i="1"/>
  <c r="C7" i="3"/>
  <c r="D7" i="3"/>
  <c r="E7" i="3"/>
  <c r="B7" i="3"/>
  <c r="G19" i="1" l="1"/>
  <c r="I5" i="1"/>
  <c r="P29" i="1"/>
  <c r="O29" i="1"/>
  <c r="N29" i="1"/>
  <c r="Q26" i="1" l="1"/>
  <c r="Q31" i="1"/>
  <c r="H8" i="2" l="1"/>
  <c r="B5" i="2"/>
  <c r="B8" i="2"/>
  <c r="B11" i="2"/>
  <c r="G8" i="2"/>
  <c r="J9" i="2" s="1"/>
  <c r="F8" i="2"/>
  <c r="E8" i="2"/>
  <c r="D8" i="2"/>
  <c r="C8" i="2"/>
  <c r="H5" i="2"/>
  <c r="H11" i="2" s="1"/>
  <c r="G5" i="2"/>
  <c r="G11" i="2" s="1"/>
  <c r="J5" i="2" s="1"/>
  <c r="F5" i="2"/>
  <c r="E5" i="2"/>
  <c r="D5" i="2"/>
  <c r="D11" i="2" s="1"/>
  <c r="C5" i="2"/>
  <c r="G56" i="1"/>
  <c r="G55" i="1"/>
  <c r="G54" i="1"/>
  <c r="G53" i="1"/>
  <c r="G52" i="1"/>
  <c r="F51" i="1"/>
  <c r="E51" i="1"/>
  <c r="D51" i="1"/>
  <c r="C51" i="1"/>
  <c r="B51" i="1"/>
  <c r="G50" i="1"/>
  <c r="G47" i="1"/>
  <c r="G45" i="1"/>
  <c r="F44" i="1"/>
  <c r="E44" i="1"/>
  <c r="D44" i="1"/>
  <c r="C44" i="1"/>
  <c r="B44" i="1"/>
  <c r="G43" i="1"/>
  <c r="G42" i="1"/>
  <c r="G41" i="1"/>
  <c r="G40" i="1"/>
  <c r="G39" i="1"/>
  <c r="G38" i="1"/>
  <c r="G36" i="1"/>
  <c r="G35" i="1"/>
  <c r="G34" i="1"/>
  <c r="G31" i="1"/>
  <c r="F30" i="1"/>
  <c r="E30" i="1"/>
  <c r="D30" i="1"/>
  <c r="C30" i="1"/>
  <c r="B30" i="1"/>
  <c r="F23" i="1"/>
  <c r="E23" i="1"/>
  <c r="D23" i="1"/>
  <c r="C23" i="1"/>
  <c r="B23" i="1"/>
  <c r="G17" i="1"/>
  <c r="G16" i="1"/>
  <c r="H15" i="1"/>
  <c r="G15" i="1"/>
  <c r="G11" i="1"/>
  <c r="G10" i="1"/>
  <c r="F9" i="1"/>
  <c r="E9" i="1"/>
  <c r="D9" i="1"/>
  <c r="C9" i="1"/>
  <c r="B9" i="1"/>
  <c r="G8" i="1"/>
  <c r="G7" i="1"/>
  <c r="G6" i="1"/>
  <c r="F5" i="1"/>
  <c r="E5" i="1"/>
  <c r="D5" i="1"/>
  <c r="C5" i="1"/>
  <c r="B5" i="1"/>
  <c r="H7" i="1" l="1"/>
  <c r="H6" i="1"/>
  <c r="H11" i="1"/>
  <c r="G9" i="1"/>
  <c r="E29" i="1"/>
  <c r="E25" i="1" s="1"/>
  <c r="E26" i="1" s="1"/>
  <c r="G5" i="1"/>
  <c r="G44" i="1"/>
  <c r="B29" i="1"/>
  <c r="B25" i="1" s="1"/>
  <c r="B26" i="1" s="1"/>
  <c r="O31" i="1"/>
  <c r="C29" i="1"/>
  <c r="C25" i="1" s="1"/>
  <c r="C26" i="1" s="1"/>
  <c r="D29" i="1"/>
  <c r="D25" i="1" s="1"/>
  <c r="D26" i="1" s="1"/>
  <c r="C12" i="1"/>
  <c r="C22" i="1" s="1"/>
  <c r="E12" i="1"/>
  <c r="E22" i="1" s="1"/>
  <c r="H8" i="1"/>
  <c r="B12" i="1"/>
  <c r="D12" i="1"/>
  <c r="D13" i="1" s="1"/>
  <c r="D14" i="1" s="1"/>
  <c r="C11" i="2"/>
  <c r="J10" i="2"/>
  <c r="E11" i="2"/>
  <c r="J6" i="2"/>
  <c r="J7" i="2"/>
  <c r="F11" i="2"/>
  <c r="J8" i="2"/>
  <c r="H17" i="1"/>
  <c r="G51" i="1"/>
  <c r="F29" i="1"/>
  <c r="F25" i="1" s="1"/>
  <c r="F26" i="1" s="1"/>
  <c r="H10" i="1"/>
  <c r="F12" i="1"/>
  <c r="H12" i="1" s="1"/>
  <c r="G30" i="1"/>
  <c r="H9" i="1" l="1"/>
  <c r="H5" i="1"/>
  <c r="B22" i="1"/>
  <c r="B13" i="1"/>
  <c r="B14" i="1" s="1"/>
  <c r="N31" i="1"/>
  <c r="E13" i="1"/>
  <c r="E14" i="1" s="1"/>
  <c r="C13" i="1"/>
  <c r="C14" i="1" s="1"/>
  <c r="D22" i="1"/>
  <c r="H55" i="1"/>
  <c r="H39" i="1"/>
  <c r="H54" i="1"/>
  <c r="H50" i="1"/>
  <c r="H53" i="1"/>
  <c r="H43" i="1"/>
  <c r="H36" i="1"/>
  <c r="H38" i="1"/>
  <c r="H47" i="1"/>
  <c r="H31" i="1"/>
  <c r="H52" i="1"/>
  <c r="H42" i="1"/>
  <c r="H35" i="1"/>
  <c r="H56" i="1"/>
  <c r="H45" i="1"/>
  <c r="H41" i="1"/>
  <c r="H34" i="1"/>
  <c r="H40" i="1"/>
  <c r="H44" i="1"/>
  <c r="F22" i="1"/>
  <c r="F13" i="1"/>
  <c r="G12" i="1"/>
  <c r="H51" i="1"/>
  <c r="H30" i="1"/>
  <c r="G22" i="1" l="1"/>
  <c r="G13" i="1"/>
  <c r="F14" i="1"/>
  <c r="F22" i="4" l="1"/>
  <c r="F23" i="4" s="1"/>
  <c r="G26" i="4"/>
  <c r="F49" i="4"/>
  <c r="F50" i="4" s="1"/>
  <c r="E5" i="6"/>
  <c r="E12" i="6" s="1"/>
  <c r="E13" i="6" l="1"/>
  <c r="E22" i="6"/>
  <c r="E14" i="6" l="1"/>
  <c r="E2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Govern d'Andorra</author>
  </authors>
  <commentList>
    <comment ref="F4" authorId="0" shapeId="0" xr:uid="{AF9B869D-AC86-4A40-8547-4C72F950159A}">
      <text>
        <r>
          <rPr>
            <b/>
            <sz val="9"/>
            <color indexed="81"/>
            <rFont val="Tahoma"/>
            <family val="2"/>
          </rPr>
          <t>Govern d'Andorra:</t>
        </r>
        <r>
          <rPr>
            <sz val="9"/>
            <color indexed="81"/>
            <rFont val="Tahoma"/>
            <family val="2"/>
          </rPr>
          <t xml:space="preserve">
falten dades de FEDA</t>
        </r>
      </text>
    </comment>
  </commentList>
</comments>
</file>

<file path=xl/sharedStrings.xml><?xml version="1.0" encoding="utf-8"?>
<sst xmlns="http://schemas.openxmlformats.org/spreadsheetml/2006/main" count="713" uniqueCount="271">
  <si>
    <t>BALANÇ ELECTRIC ANDORRA</t>
  </si>
  <si>
    <t>Variació 2021-2025</t>
  </si>
  <si>
    <t>% total darrer any</t>
  </si>
  <si>
    <t>Producció renovable</t>
  </si>
  <si>
    <t>Hidràulica</t>
  </si>
  <si>
    <t>PB hidro calculada. Revisar valors de la hidro classificada com FV</t>
  </si>
  <si>
    <t>Solar Fotovoltaica</t>
  </si>
  <si>
    <t>PB estimada amb eina de potencial solar calculada pel 2021, 2022, 2023, 2024. Pel 2025 s'ha agafat el % mig del que representa la injecció respecte la PB pel 2021, 2022, 2023 i 2024 i s'ha fet una mitjana.</t>
  </si>
  <si>
    <t>Valorització de residus (renovable)</t>
  </si>
  <si>
    <t>Calculada a partir del % de carboni biogènic i de les dades de CTRASA</t>
  </si>
  <si>
    <t>Producció  no renovable</t>
  </si>
  <si>
    <t>Cogeneració Soldeu (GNL)</t>
  </si>
  <si>
    <t>Calculada a partir de les dades del REN i assumint que la PB = PN. O bé apliquem el % mig de pèrdues dels transformadors.</t>
  </si>
  <si>
    <t>Valorització de residus (no renovable)</t>
  </si>
  <si>
    <t>Calculada a partir del % de carboni no biogènic i de les dades de CTRASA</t>
  </si>
  <si>
    <t>Total producció bruta d'energia elèctrica</t>
  </si>
  <si>
    <t>Consums propis</t>
  </si>
  <si>
    <t>-</t>
  </si>
  <si>
    <t>Només inclou les pèrdues dels transformadors que eleven la tensió per injectar-la a la xarxa i els consums dels equips auxiliars. No inclou els consums que provenen de la xarxa elèctrica.</t>
  </si>
  <si>
    <t>Consums propis sense autoconsum FV</t>
  </si>
  <si>
    <t>Autoconsum FV (dins de consums propis)</t>
  </si>
  <si>
    <t>Resta de la PB estimada i la injecció de la FV</t>
  </si>
  <si>
    <t>Producció neta d'energia elèctrica/Injecció</t>
  </si>
  <si>
    <t>Importació d'energia elèctrica</t>
  </si>
  <si>
    <t>dades donades per Jordi de Juan històric</t>
  </si>
  <si>
    <t>Exportació d'energia elèctrica</t>
  </si>
  <si>
    <t>dada extreta d'estadística (fluxos d'electrons)</t>
  </si>
  <si>
    <t>Demanda en b.c.</t>
  </si>
  <si>
    <t>es calcula a partir de la PN</t>
  </si>
  <si>
    <t>Prova % mig i aplicació de injecció/PB de FOTOVOLTAICA</t>
  </si>
  <si>
    <t>Que representa autoconsum respecte tota PB nacional</t>
  </si>
  <si>
    <t>Que representa autoconsum respecte tota PB FV</t>
  </si>
  <si>
    <t>Pèrdues de transport i distribució</t>
  </si>
  <si>
    <t>% Pèrdues (sobre OTS)</t>
  </si>
  <si>
    <t>aplicació % mig</t>
  </si>
  <si>
    <t>Pèrdues totals (Importació, Transport,ETR, MT i BT)</t>
  </si>
  <si>
    <t>dada donada per FEDA pel 2020</t>
  </si>
  <si>
    <t>% autoconsum sobre PB</t>
  </si>
  <si>
    <t xml:space="preserve">Consum final d'energia elèctrica </t>
  </si>
  <si>
    <t>Fabricació, construcció i mineria</t>
  </si>
  <si>
    <t>Ferro i acer</t>
  </si>
  <si>
    <t>Química i petroquímica</t>
  </si>
  <si>
    <t>Metalls no ferrosos</t>
  </si>
  <si>
    <t>Minerals no metàl·lics</t>
  </si>
  <si>
    <t>Equips de transport</t>
  </si>
  <si>
    <t>Maquinària</t>
  </si>
  <si>
    <t>Mineria i pedrera</t>
  </si>
  <si>
    <t>Alimentació i tabac</t>
  </si>
  <si>
    <t>Polpa de paper i impressió</t>
  </si>
  <si>
    <t>Fusta i productes de fusta</t>
  </si>
  <si>
    <t>Tèxtil i pell</t>
  </si>
  <si>
    <t>Construcció</t>
  </si>
  <si>
    <t>Altres indústries</t>
  </si>
  <si>
    <t>Transport</t>
  </si>
  <si>
    <t>Carretera</t>
  </si>
  <si>
    <t>Ferroviari</t>
  </si>
  <si>
    <t>Aviació domèstica</t>
  </si>
  <si>
    <t>Navegació domèstica</t>
  </si>
  <si>
    <t>Transport per tuberia</t>
  </si>
  <si>
    <t>Transport altres</t>
  </si>
  <si>
    <t>Altres consums</t>
  </si>
  <si>
    <t>Agricultura i forestal</t>
  </si>
  <si>
    <t>Pesca</t>
  </si>
  <si>
    <t>Comerç i serveis públics</t>
  </si>
  <si>
    <t>Domèstic</t>
  </si>
  <si>
    <t>Altres consums no classificats en cap altra categoria</t>
  </si>
  <si>
    <t>Consums propis de la indústria energètica</t>
  </si>
  <si>
    <t>autoconsum - Consums propis CTRASA</t>
  </si>
  <si>
    <t>Consums propis Soldeu</t>
  </si>
  <si>
    <t>Potència instal·lada (kW)</t>
  </si>
  <si>
    <t>Font</t>
  </si>
  <si>
    <t>Variació 2021-2024</t>
  </si>
  <si>
    <t>%/ total darrer any</t>
  </si>
  <si>
    <t>Potència renovable</t>
  </si>
  <si>
    <t>Potència no renovable</t>
  </si>
  <si>
    <t>Total potència instal·lada nacional</t>
  </si>
  <si>
    <t>Cogeneració - Valorització de residus</t>
  </si>
  <si>
    <t>Cogeneració GNL</t>
  </si>
  <si>
    <t>kWh</t>
  </si>
  <si>
    <t>Producció bruta d'energia elèctrica</t>
  </si>
  <si>
    <t>Producció neta</t>
  </si>
  <si>
    <t>Valorització de residus (total)</t>
  </si>
  <si>
    <t>injeccio (a juliol 2026)</t>
  </si>
  <si>
    <t>PB estimada 3 (FEDA a banda)</t>
  </si>
  <si>
    <t>injecció/PB2</t>
  </si>
  <si>
    <t>injecció/PB3</t>
  </si>
  <si>
    <t>PB estimada1 (no correcció autoconsum)</t>
  </si>
  <si>
    <t>PB estimada2 (correcció autoconsum deslo.)</t>
  </si>
  <si>
    <t>injeccio i FEDA a banda (a juliol 2026)</t>
  </si>
  <si>
    <t>injecció FEDA  (excel seu)</t>
  </si>
  <si>
    <t>PB  FEDA  (excel seu)</t>
  </si>
  <si>
    <t>PB estimada 3 (correcció autoconsum sense FEDA)</t>
  </si>
  <si>
    <t>Les dades no quadren per molt perquè nosaltres hem fet el càlcul a partir de la dades de PB de FEDA + estimació per criteris i l'eina de potencial solar amb la resta de Mútues. FEDA ho ha fet a partir de la seva PB i estimant la PB de les resta de Mútues amb el perfil solar de la Tosa de Pal.</t>
  </si>
  <si>
    <t>Les dades quadren excepte pel 2025 perquè vam actualtizar el %  de residus renovables pel 2025 i FEDA no el tenia bé.</t>
  </si>
  <si>
    <t>Total producció bruta d'energia elèctrica FEDA</t>
  </si>
  <si>
    <t>Producció neta d'energia elèctrica/Injecció FEDA</t>
  </si>
  <si>
    <t>autoconsum PB 2</t>
  </si>
  <si>
    <t>autoconsum PB 3</t>
  </si>
  <si>
    <t>Dades extretes del REN i corregit la injecció amb les dades reals de FEDA per FV.</t>
  </si>
  <si>
    <t>PB Hidràulica OECC</t>
  </si>
  <si>
    <t>PB Hidràulica FEDA</t>
  </si>
  <si>
    <t>PB Solar Fotovoltaica</t>
  </si>
  <si>
    <t>PB Solar Fotovoltaica FEDA</t>
  </si>
  <si>
    <t>PB Valorització de residus (renovable)</t>
  </si>
  <si>
    <t>PB Valorització de residus (renovable) FEDA</t>
  </si>
  <si>
    <t>PB Cogeneració Soldeu (GNL)</t>
  </si>
  <si>
    <t>PB Cogeneració Soldeu (GNL) FEDA</t>
  </si>
  <si>
    <t>PB Valorització de residus (no renovable)</t>
  </si>
  <si>
    <t>PB Valorització de residus (no renovable) FEDA</t>
  </si>
  <si>
    <t>Producció renovable bruta FEDA</t>
  </si>
  <si>
    <t>Producció renovable bruta OECC</t>
  </si>
  <si>
    <t>Producció no renovable bruta FEDA</t>
  </si>
  <si>
    <t>Producció no renovable bruta OECC</t>
  </si>
  <si>
    <t>PN Hidràulica OECC</t>
  </si>
  <si>
    <t>PN Hidràulica FEDA</t>
  </si>
  <si>
    <t>Les dades de hidro no quadren exactament perquè FEDA no tenia dades de la hidro del Comú de Sant Julià. Nosaltres hem agafat les dades de PN donades per FEDA per totes i les del Comú del Sant Julià hem agafat les del REN assumint com a  bones.</t>
  </si>
  <si>
    <t>PN Hidràulica REN</t>
  </si>
  <si>
    <t>PN FV resta de Mútues FEDA</t>
  </si>
  <si>
    <t>PN FV resta de Mútues OECC (REN)</t>
  </si>
  <si>
    <t>PN FV FEDA (per OECC i per FEDA) (excel FEDA)</t>
  </si>
  <si>
    <t>PN FV TOTAL OECC</t>
  </si>
  <si>
    <t>PN FV TOTAL FEDA</t>
  </si>
  <si>
    <t>PN FV TOTAL REN</t>
  </si>
  <si>
    <t>PN CTRASA FEDA</t>
  </si>
  <si>
    <t>PN Soldeu OECC</t>
  </si>
  <si>
    <t>PN Soldeu FEDA</t>
  </si>
  <si>
    <t>PN CTRASA OECC (REN)</t>
  </si>
  <si>
    <t>Les dades de PN de REN i PN de FEDA noa caben de quadrar per un tema d'arrodoniment</t>
  </si>
  <si>
    <t>Les dades de PN de REN i PN de FEDA no acaben de quadrar per un tema d'arrodoniment.</t>
  </si>
  <si>
    <t xml:space="preserve">PN CTRASA </t>
  </si>
  <si>
    <t>Segons FEDA, aquestes dades son calculades</t>
  </si>
  <si>
    <t>Demanda en b.c. OECC</t>
  </si>
  <si>
    <t>Demanda en b.c. FEDA</t>
  </si>
  <si>
    <t>Demanda en b.a. FEDA</t>
  </si>
  <si>
    <t>Les dades de hidro no quadren exactament perquè FEDA no tenia dades de la hidro del Comú de Sant Julià. Nosaltres hem estimat les dades com havíem fet abans, a partir del comportament d'Arcalís i Aixovall i assumint les mateixes pèrdues.</t>
  </si>
  <si>
    <t>PB assumint la dada del REN com a producció intermitja. Al 2021 i 2022 les dades no estan completes.</t>
  </si>
  <si>
    <t>Calculada assumint que la dada informada al REN és una producció intermitja</t>
  </si>
  <si>
    <t>Tipus de connexió</t>
  </si>
  <si>
    <t>Dada de REN</t>
  </si>
  <si>
    <t>Explicació FEDA</t>
  </si>
  <si>
    <t>Distribuïdora</t>
  </si>
  <si>
    <t>Situació</t>
  </si>
  <si>
    <t>Dada FEDA PB</t>
  </si>
  <si>
    <t>Dada OECC PB (REN=PN)</t>
  </si>
  <si>
    <t>Dada FEDA PN</t>
  </si>
  <si>
    <t>Dada OECC PN (REN=PN)</t>
  </si>
  <si>
    <r>
      <t>Dada OECC PN (REN</t>
    </r>
    <r>
      <rPr>
        <b/>
        <sz val="11"/>
        <color theme="0"/>
        <rFont val="Calibri"/>
        <family val="2"/>
      </rPr>
      <t>≠</t>
    </r>
    <r>
      <rPr>
        <b/>
        <sz val="11"/>
        <color theme="0"/>
        <rFont val="Calibri"/>
        <family val="2"/>
        <scheme val="minor"/>
      </rPr>
      <t>PN)</t>
    </r>
  </si>
  <si>
    <t>dada informada</t>
  </si>
  <si>
    <t>02186 - Central (FEDA)</t>
  </si>
  <si>
    <t>Independent</t>
  </si>
  <si>
    <t>Injecció</t>
  </si>
  <si>
    <t>PB</t>
  </si>
  <si>
    <t>FEDA</t>
  </si>
  <si>
    <t>Hauríem de traslladar tots els fluxos històrics del REN a PB</t>
  </si>
  <si>
    <t>dada final estimada</t>
  </si>
  <si>
    <t>02165 - Arcalís (PERSA)</t>
  </si>
  <si>
    <t>Ni PB ni PN</t>
  </si>
  <si>
    <t>NASA</t>
  </si>
  <si>
    <t>O assumim la dada de REN com a PN o apliquem una correció de pèrdues de transformador</t>
  </si>
  <si>
    <t>01601 - Aixovall (PERSA)</t>
  </si>
  <si>
    <t>Mútua</t>
  </si>
  <si>
    <t>02892- SAETDE</t>
  </si>
  <si>
    <t>Híbrida</t>
  </si>
  <si>
    <r>
      <t xml:space="preserve">El 2025 han penjat al REN com a PB. Ens havíen dit que la única que informava de PB era la central. Assumim com error i tenim el mateix criteri que les altres. </t>
    </r>
    <r>
      <rPr>
        <sz val="9"/>
        <color rgb="FFFF0000"/>
        <rFont val="Calibri"/>
        <family val="2"/>
        <scheme val="minor"/>
      </rPr>
      <t>Si és híbrida ha d'informar de PB i PN.</t>
    </r>
  </si>
  <si>
    <t>03172 - Comú St. Julià</t>
  </si>
  <si>
    <r>
      <t xml:space="preserve">O assumim la dada de REN com a PN o apliquem una correció de pèrdues de transformador. </t>
    </r>
    <r>
      <rPr>
        <sz val="9"/>
        <color rgb="FFFF0000"/>
        <rFont val="Calibri"/>
        <family val="2"/>
        <scheme val="minor"/>
      </rPr>
      <t>Si és híbrida ha d'informar de PB i PN.</t>
    </r>
  </si>
  <si>
    <t>02158 - Comú Andorra la Vella</t>
  </si>
  <si>
    <t>Injecció i PB</t>
  </si>
  <si>
    <t>O assumim la dada de REN  d'injecció om a PN o apliquem una correció de pèrdues de transformador. La dada de PB ens al creiem.</t>
  </si>
  <si>
    <t>2021*</t>
  </si>
  <si>
    <t>2022*</t>
  </si>
  <si>
    <t>PB FEDA**</t>
  </si>
  <si>
    <t>PB OECC assumint REN com PN</t>
  </si>
  <si>
    <t>PB OECC assumint REN com P.intermitja</t>
  </si>
  <si>
    <t>PN FEDA**</t>
  </si>
  <si>
    <t>PN OECC assumint REN com PN</t>
  </si>
  <si>
    <t>PN OECC assumint REN com P.intermitja</t>
  </si>
  <si>
    <t>*Al REN falten dades de la hidro del Comú d'Andorra la Vella</t>
  </si>
  <si>
    <t>** FEDA no disposa de dades de la hidro del comú de Sant Julià</t>
  </si>
  <si>
    <t>PB OECC sense 2025 total</t>
  </si>
  <si>
    <t>Injecció OECC (REN)</t>
  </si>
  <si>
    <t>assumint que tot el que han informat al REN és injecció</t>
  </si>
  <si>
    <t>PB OECC amb 2025 total</t>
  </si>
  <si>
    <t>PB OECC sense 2025 FEDA a banda</t>
  </si>
  <si>
    <t>PB OECC amb 2025 FEDA a banda</t>
  </si>
  <si>
    <t>PB Solar Fotovoltaica només FEDA</t>
  </si>
  <si>
    <t>donada per FEDA</t>
  </si>
  <si>
    <t>PB Solar Fotovoltaica altres (FEDA)</t>
  </si>
  <si>
    <t>Injecció total calculada per FEDA</t>
  </si>
  <si>
    <t>CTRASA</t>
  </si>
  <si>
    <t>FEDA REN</t>
  </si>
  <si>
    <t>CTRASA- producció bruta (FEDA)</t>
  </si>
  <si>
    <t>FEDA_BE_versio_FEDAv1</t>
  </si>
  <si>
    <t>% Residus renovables</t>
  </si>
  <si>
    <t>càlcul OECC per inventari</t>
  </si>
  <si>
    <t>CTRASA-PB residus renovables</t>
  </si>
  <si>
    <t>CTRASA-PB residus no renovables + gasoil</t>
  </si>
  <si>
    <t>SOLDEU</t>
  </si>
  <si>
    <t>Soldeu- producció bruta (FEDA)</t>
  </si>
  <si>
    <t>Consums propis (només pèrdues transformadors)</t>
  </si>
  <si>
    <t>és només dels transformadors perquè Soldeu tot el que produeix ho injecta, no fa autoconsum. Els consusm electrics que necessiten ho treuen de la xarxa elèctrica i per tant estarà dins d'un codi CAEA que classificarem com consums propis de la industria energètica.</t>
  </si>
  <si>
    <t>CTRASA mail</t>
  </si>
  <si>
    <t>CTRASA - energia elèctrica venuda</t>
  </si>
  <si>
    <t xml:space="preserve">CTRASA mail (coincideix amb el pdf indicadors CTRASA però no exactament amb el REN) </t>
  </si>
  <si>
    <t xml:space="preserve">CTRASA - producció bruta </t>
  </si>
  <si>
    <t>CTRASA - Injecció (REN) OECC</t>
  </si>
  <si>
    <t>Soldeu - Injecció (REN) OECC</t>
  </si>
  <si>
    <t>Soldeu- producció bruta (PB=PN)</t>
  </si>
  <si>
    <t>Son diferents per un tema d'arrodoniment</t>
  </si>
  <si>
    <t>Soldeu- producció neta (FEDA)</t>
  </si>
  <si>
    <t>CTRASA-PB residus renovables (FEDA)</t>
  </si>
  <si>
    <r>
      <t>Dada OECC PB (REN</t>
    </r>
    <r>
      <rPr>
        <b/>
        <sz val="11"/>
        <color theme="0"/>
        <rFont val="Calibri"/>
        <family val="2"/>
      </rPr>
      <t>≠</t>
    </r>
    <r>
      <rPr>
        <b/>
        <sz val="11"/>
        <color theme="0"/>
        <rFont val="Calibri"/>
        <family val="2"/>
        <scheme val="minor"/>
      </rPr>
      <t>PN)*</t>
    </r>
  </si>
  <si>
    <t>* d'acord al reglament</t>
  </si>
  <si>
    <t>PN no integra les pèrdues dels transformadors</t>
  </si>
  <si>
    <t>AUTOCONSUM</t>
  </si>
  <si>
    <t>autoconsum/PB</t>
  </si>
  <si>
    <t>Soldeu- producció bruta (calculada) 2 (1,03% mig)</t>
  </si>
  <si>
    <t>apliquem el % de pèrdues que aplica FEDA sobre la nostra dada de REN original</t>
  </si>
  <si>
    <t>Dades extretes del REN excepte la hidro que està estimada</t>
  </si>
  <si>
    <t>Memòria sostenibilitat 2025 FEDA</t>
  </si>
  <si>
    <r>
      <rPr>
        <b/>
        <sz val="12"/>
        <color theme="1"/>
        <rFont val="Calibri"/>
        <family val="2"/>
        <scheme val="minor"/>
      </rPr>
      <t xml:space="preserve">75% </t>
    </r>
    <r>
      <rPr>
        <b/>
        <sz val="11"/>
        <color theme="1"/>
        <rFont val="Calibri"/>
        <family val="2"/>
        <scheme val="minor"/>
      </rPr>
      <t>de l'electricitat consumida va ser renovable</t>
    </r>
  </si>
  <si>
    <t>producció bruta renovable de tota la producció nacional</t>
  </si>
  <si>
    <t>producció bruta renovable sobre la demanda nacional en b.c.</t>
  </si>
  <si>
    <t>producció bruta renovable sobre el consum final d'energia</t>
  </si>
  <si>
    <t>22,6 % d'origen hidràulic de l'electricitat</t>
  </si>
  <si>
    <t>47,6% d'origen eòlic de l'electricitat</t>
  </si>
  <si>
    <t>4,4 % d'origen solar de l'electricitat</t>
  </si>
  <si>
    <t>8,4 % d'origen de gas de l'electricitat</t>
  </si>
  <si>
    <t>8,9% d'origen nuclear de l'electricitat</t>
  </si>
  <si>
    <t>1,1 % d'origen carbó de l'electricitat</t>
  </si>
  <si>
    <t>0,5 % d'origen fuel de l'electricitat</t>
  </si>
  <si>
    <t>6,5 % d'origen d'altres renovables de l'electricitat</t>
  </si>
  <si>
    <t>incorporen les garanties d'origen d'importació, nosaltres no</t>
  </si>
  <si>
    <t>OECC- dades 2025</t>
  </si>
  <si>
    <t>producció bruta solar FV sobre la demanda</t>
  </si>
  <si>
    <t>incorporen la importació. Nosaltres considerem GNL de soldeu i residus no renovables i GNL de CTRASA.</t>
  </si>
  <si>
    <t>producció bruta no renovable sobre la demanda</t>
  </si>
  <si>
    <t>producció bruta residus renovables sobre la demanda</t>
  </si>
  <si>
    <t>La hidro és la segona font del mix energètic</t>
  </si>
  <si>
    <t>Producció central hidroelèctrica de FEDA = 84,9 GWh</t>
  </si>
  <si>
    <t>hidro</t>
  </si>
  <si>
    <t>FV</t>
  </si>
  <si>
    <t>residus renovables</t>
  </si>
  <si>
    <t>no renovable</t>
  </si>
  <si>
    <t>contribució de la hidro a la producció bruta nacional, primera font</t>
  </si>
  <si>
    <t>84,9 GWh</t>
  </si>
  <si>
    <t>PB (=REN)</t>
  </si>
  <si>
    <t>41% Importació Espanya</t>
  </si>
  <si>
    <t>36% importació França</t>
  </si>
  <si>
    <t>23% producció nacional</t>
  </si>
  <si>
    <t>15,3% producció hidràulica</t>
  </si>
  <si>
    <t>3,9% producció tèrmica</t>
  </si>
  <si>
    <t>4,1% producció fotovoltaica</t>
  </si>
  <si>
    <t>importació total sobre la demanda en b.c.</t>
  </si>
  <si>
    <t>producció bruta nacional sobre la demanda en b.c.</t>
  </si>
  <si>
    <t>producció bruta hidràulica sobre la demanda en b.c</t>
  </si>
  <si>
    <t>producció bruta tèrmica sobre la demanda en b.c</t>
  </si>
  <si>
    <t>inclou valoritzacio residus renovables i no renovables i GNL</t>
  </si>
  <si>
    <t>Post 2025 FEDA</t>
  </si>
  <si>
    <t>16,7 GWh de CTRASA</t>
  </si>
  <si>
    <t>Feda informa de PN i nosaltres de PB per això no quadra (caldria que sempre especifiquèssin a la seva memòria quina dada és)</t>
  </si>
  <si>
    <t>Hidroelèctrica</t>
  </si>
  <si>
    <t>2025 GWh</t>
  </si>
  <si>
    <t>GWh</t>
  </si>
  <si>
    <t>Saldo d'importació - exportació</t>
  </si>
  <si>
    <t>Producció neta d'energia elèctrica</t>
  </si>
  <si>
    <t>% Pèrdues (sobre OTS- sense consums propis)</t>
  </si>
  <si>
    <t>% Pèrdues (sobre OTS- total)</t>
  </si>
  <si>
    <t>Venda OS a distribuïdores (a MT)</t>
  </si>
  <si>
    <t>per comprovar)</t>
  </si>
  <si>
    <t>Segons assessor, s'hand e tenir en compte els consums propis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</si>
</sst>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0.00%"/>
    <numFmt numFmtId="165" formatCode="0.0%"/>
    <numFmt numFmtId="166" formatCode="#,##0.0"/>
    <numFmt numFmtId="167" formatCode="0.000%"/>
    <numFmt numFmtId="168" formatCode="0.0"/>
  </numFmts>
  <fonts count="6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8"/>
      <color theme="1"/>
      <name val="Calibri"/>
      <family val="2"/>
      <scheme val="minor"/>
    </font>
    <font>
      <b/>
      <i/>
      <sz val="14"/>
      <color rgb="FF1157A3"/>
      <name val="Calibri"/>
      <family val="2"/>
      <scheme val="minor"/>
    </font>
    <font>
      <b/>
      <sz val="12"/>
      <color theme="0"/>
      <name val="Calibri"/>
      <family val="2"/>
      <scheme val="minor"/>
    </font>
    <font>
      <b/>
      <sz val="11"/>
      <color rgb="FF1157A3"/>
      <name val="Calibri"/>
      <family val="2"/>
      <scheme val="minor"/>
    </font>
    <font>
      <b/>
      <sz val="11"/>
      <color rgb="FF00B050"/>
      <name val="Calibri"/>
      <family val="2"/>
      <scheme val="minor"/>
    </font>
    <font>
      <sz val="11"/>
      <name val="Calibri"/>
      <family val="2"/>
      <scheme val="minor"/>
    </font>
    <font>
      <sz val="11"/>
      <color theme="5"/>
      <name val="Calibri"/>
      <family val="2"/>
      <scheme val="minor"/>
    </font>
    <font>
      <b/>
      <sz val="11"/>
      <color rgb="FFFF0000"/>
      <name val="Calibri"/>
      <family val="2"/>
      <scheme val="minor"/>
    </font>
    <font>
      <i/>
      <sz val="10"/>
      <color rgb="FF1157A3"/>
      <name val="Calibri"/>
      <family val="2"/>
      <scheme val="minor"/>
    </font>
    <font>
      <b/>
      <i/>
      <sz val="11"/>
      <color rgb="FF9999FF"/>
      <name val="Calibri"/>
      <family val="2"/>
      <scheme val="minor"/>
    </font>
    <font>
      <sz val="11"/>
      <color rgb="FF9999FF"/>
      <name val="Calibri"/>
      <family val="2"/>
      <scheme val="minor"/>
    </font>
    <font>
      <b/>
      <i/>
      <sz val="11"/>
      <color theme="1"/>
      <name val="Calibri"/>
      <family val="2"/>
      <scheme val="minor"/>
    </font>
    <font>
      <b/>
      <sz val="11"/>
      <color theme="1" tint="0.34998626667073579"/>
      <name val="Calibri"/>
      <family val="2"/>
      <scheme val="minor"/>
    </font>
    <font>
      <sz val="11"/>
      <color theme="1" tint="0.34998626667073579"/>
      <name val="Calibri"/>
      <family val="2"/>
      <scheme val="minor"/>
    </font>
    <font>
      <sz val="11"/>
      <color rgb="FF1157A3"/>
      <name val="Calibri"/>
      <family val="2"/>
      <scheme val="minor"/>
    </font>
    <font>
      <sz val="10"/>
      <color theme="1" tint="0.34998626667073579"/>
      <name val="Calibri"/>
      <family val="2"/>
      <scheme val="minor"/>
    </font>
    <font>
      <sz val="9"/>
      <color theme="0" tint="-0.34998626667073579"/>
      <name val="Calibri"/>
      <family val="2"/>
      <scheme val="minor"/>
    </font>
    <font>
      <b/>
      <sz val="9"/>
      <color rgb="FF00B050"/>
      <name val="Calibri"/>
      <family val="2"/>
      <scheme val="minor"/>
    </font>
    <font>
      <sz val="9"/>
      <color theme="1"/>
      <name val="Calibri"/>
      <family val="2"/>
      <scheme val="minor"/>
    </font>
    <font>
      <b/>
      <sz val="9"/>
      <color rgb="FFFF0000"/>
      <name val="Calibri"/>
      <family val="2"/>
      <scheme val="minor"/>
    </font>
    <font>
      <sz val="9"/>
      <color theme="0"/>
      <name val="Calibri"/>
      <family val="2"/>
      <scheme val="minor"/>
    </font>
    <font>
      <sz val="10"/>
      <color theme="1"/>
      <name val="Calibri"/>
      <family val="2"/>
      <scheme val="minor"/>
    </font>
    <font>
      <b/>
      <sz val="9"/>
      <color indexed="81"/>
      <name val="Tahoma"/>
      <family val="2"/>
    </font>
    <font>
      <sz val="9"/>
      <color indexed="81"/>
      <name val="Tahoma"/>
      <family val="2"/>
    </font>
    <font>
      <b/>
      <sz val="14"/>
      <color theme="0"/>
      <name val="Calibri"/>
      <family val="2"/>
      <scheme val="minor"/>
    </font>
    <font>
      <sz val="8"/>
      <name val="Calibri"/>
      <family val="2"/>
      <scheme val="minor"/>
    </font>
    <font>
      <i/>
      <sz val="11"/>
      <color theme="1"/>
      <name val="Calibri"/>
      <family val="2"/>
      <scheme val="minor"/>
    </font>
    <font>
      <b/>
      <i/>
      <sz val="11"/>
      <color rgb="FF00B0F0"/>
      <name val="Calibri"/>
      <family val="2"/>
      <scheme val="minor"/>
    </font>
    <font>
      <i/>
      <sz val="9"/>
      <color rgb="FF00B0F0"/>
      <name val="Calibri"/>
      <family val="2"/>
      <scheme val="minor"/>
    </font>
    <font>
      <i/>
      <sz val="10"/>
      <color theme="1"/>
      <name val="Calibri"/>
      <family val="2"/>
      <scheme val="minor"/>
    </font>
    <font>
      <b/>
      <i/>
      <sz val="9"/>
      <color theme="1"/>
      <name val="Calibri"/>
      <family val="2"/>
      <scheme val="minor"/>
    </font>
    <font>
      <b/>
      <i/>
      <strike/>
      <sz val="11"/>
      <color theme="1"/>
      <name val="Calibri"/>
      <family val="2"/>
      <scheme val="minor"/>
    </font>
    <font>
      <strike/>
      <sz val="11"/>
      <color theme="1"/>
      <name val="Calibri"/>
      <family val="2"/>
      <scheme val="minor"/>
    </font>
    <font>
      <b/>
      <sz val="11"/>
      <color rgb="FFCC66FF"/>
      <name val="Calibri"/>
      <family val="2"/>
      <scheme val="minor"/>
    </font>
    <font>
      <sz val="11"/>
      <color rgb="FFCC66FF"/>
      <name val="Calibri"/>
      <family val="2"/>
      <scheme val="minor"/>
    </font>
    <font>
      <sz val="10"/>
      <name val="Arial"/>
      <family val="2"/>
    </font>
    <font>
      <sz val="11"/>
      <color rgb="FF00B050"/>
      <name val="Calibri"/>
      <family val="2"/>
      <scheme val="minor"/>
    </font>
    <font>
      <b/>
      <sz val="11"/>
      <name val="Calibri"/>
      <family val="2"/>
      <scheme val="minor"/>
    </font>
    <font>
      <b/>
      <sz val="11"/>
      <color rgb="FF00B0F0"/>
      <name val="Calibri"/>
      <family val="2"/>
      <scheme val="minor"/>
    </font>
    <font>
      <sz val="11"/>
      <color rgb="FF00B0F0"/>
      <name val="Calibri"/>
      <family val="2"/>
      <scheme val="minor"/>
    </font>
    <font>
      <sz val="11"/>
      <color rgb="FFFF0000"/>
      <name val="Calibri"/>
      <family val="2"/>
      <scheme val="minor"/>
    </font>
    <font>
      <b/>
      <sz val="16"/>
      <color theme="1"/>
      <name val="Calibri"/>
      <family val="2"/>
      <scheme val="minor"/>
    </font>
    <font>
      <b/>
      <sz val="11"/>
      <color theme="0"/>
      <name val="Calibri"/>
      <family val="2"/>
    </font>
    <font>
      <sz val="11"/>
      <color rgb="FF0070C0"/>
      <name val="Calibri"/>
      <family val="2"/>
      <scheme val="minor"/>
    </font>
    <font>
      <sz val="9"/>
      <color rgb="FFFF0000"/>
      <name val="Calibri"/>
      <family val="2"/>
      <scheme val="minor"/>
    </font>
    <font>
      <sz val="8"/>
      <color theme="1"/>
      <name val="Calibri"/>
      <family val="2"/>
      <scheme val="minor"/>
    </font>
    <font>
      <i/>
      <sz val="11"/>
      <color rgb="FFFF0000"/>
      <name val="Calibri"/>
      <family val="2"/>
      <scheme val="minor"/>
    </font>
    <font>
      <b/>
      <sz val="11"/>
      <color theme="5"/>
      <name val="Calibri"/>
      <family val="2"/>
      <scheme val="minor"/>
    </font>
    <font>
      <b/>
      <sz val="11"/>
      <color theme="2" tint="-0.249977111117893"/>
      <name val="Calibri"/>
      <family val="2"/>
      <scheme val="minor"/>
    </font>
    <font>
      <sz val="11"/>
      <color theme="2" tint="-0.249977111117893"/>
      <name val="Calibri"/>
      <family val="2"/>
      <scheme val="minor"/>
    </font>
    <font>
      <b/>
      <sz val="11"/>
      <color rgb="FF7030A0"/>
      <name val="Calibri"/>
      <family val="2"/>
      <scheme val="minor"/>
    </font>
    <font>
      <sz val="11"/>
      <color rgb="FF7030A0"/>
      <name val="Calibri"/>
      <family val="2"/>
      <scheme val="minor"/>
    </font>
    <font>
      <b/>
      <sz val="11"/>
      <color theme="9"/>
      <name val="Calibri"/>
      <family val="2"/>
      <scheme val="minor"/>
    </font>
    <font>
      <sz val="11"/>
      <color theme="9"/>
      <name val="Calibri"/>
      <family val="2"/>
      <scheme val="minor"/>
    </font>
    <font>
      <sz val="8"/>
      <color rgb="FFCC66FF"/>
      <name val="Calibri"/>
      <family val="2"/>
      <scheme val="minor"/>
    </font>
    <font>
      <b/>
      <i/>
      <sz val="10"/>
      <color theme="2" tint="-0.499984740745262"/>
      <name val="Calibri"/>
      <family val="2"/>
      <scheme val="minor"/>
    </font>
    <font>
      <i/>
      <sz val="9"/>
      <color theme="2" tint="-0.499984740745262"/>
      <name val="Calibri"/>
      <family val="2"/>
      <scheme val="minor"/>
    </font>
    <font>
      <b/>
      <sz val="16"/>
      <color theme="0"/>
      <name val="Calibri"/>
      <family val="2"/>
      <scheme val="minor"/>
    </font>
    <font>
      <b/>
      <sz val="12"/>
      <color theme="1"/>
      <name val="Calibri"/>
      <family val="2"/>
      <scheme val="minor"/>
    </font>
    <font>
      <b/>
      <strike/>
      <sz val="11"/>
      <color rgb="FF1157A3"/>
      <name val="Calibri"/>
      <family val="2"/>
      <scheme val="minor"/>
    </font>
    <font>
      <b/>
      <strike/>
      <sz val="11"/>
      <color theme="1" tint="0.34998626667073579"/>
      <name val="Calibri"/>
      <family val="2"/>
      <scheme val="minor"/>
    </font>
    <font>
      <strike/>
      <sz val="11"/>
      <color theme="1" tint="0.34998626667073579"/>
      <name val="Calibri"/>
      <family val="2"/>
      <scheme val="minor"/>
    </font>
  </fonts>
  <fills count="29">
    <fill>
      <patternFill patternType="none"/>
    </fill>
    <fill>
      <patternFill patternType="gray125"/>
    </fill>
    <fill>
      <patternFill patternType="solid">
        <fgColor rgb="FF1157A3"/>
        <bgColor indexed="64"/>
      </patternFill>
    </fill>
    <fill>
      <patternFill patternType="solid">
        <fgColor rgb="FF63A6EF"/>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0" tint="-0.499984740745262"/>
        <bgColor indexed="64"/>
      </patternFill>
    </fill>
    <fill>
      <patternFill patternType="solid">
        <fgColor rgb="FFFFFF00"/>
        <bgColor indexed="64"/>
      </patternFill>
    </fill>
    <fill>
      <patternFill patternType="solid">
        <fgColor rgb="FFFFC000"/>
        <bgColor indexed="64"/>
      </patternFill>
    </fill>
    <fill>
      <patternFill patternType="solid">
        <fgColor theme="3" tint="0.79998168889431442"/>
        <bgColor indexed="64"/>
      </patternFill>
    </fill>
    <fill>
      <patternFill patternType="solid">
        <fgColor rgb="FF92D050"/>
        <bgColor indexed="64"/>
      </patternFill>
    </fill>
    <fill>
      <patternFill patternType="solid">
        <fgColor rgb="FFEA4CE2"/>
        <bgColor indexed="64"/>
      </patternFill>
    </fill>
    <fill>
      <patternFill patternType="solid">
        <fgColor rgb="FFFF99CC"/>
        <bgColor indexed="64"/>
      </patternFill>
    </fill>
    <fill>
      <patternFill patternType="solid">
        <fgColor rgb="FFFFCCFF"/>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CC66FF"/>
        <bgColor indexed="64"/>
      </patternFill>
    </fill>
    <fill>
      <patternFill patternType="solid">
        <fgColor rgb="FF0070C0"/>
        <bgColor indexed="64"/>
      </patternFill>
    </fill>
    <fill>
      <patternFill patternType="solid">
        <fgColor rgb="FFFF66FF"/>
        <bgColor indexed="64"/>
      </patternFill>
    </fill>
    <fill>
      <patternFill patternType="solid">
        <fgColor rgb="FF17A9A9"/>
        <bgColor indexed="64"/>
      </patternFill>
    </fill>
    <fill>
      <patternFill patternType="solid">
        <fgColor rgb="FFCC99FF"/>
        <bgColor indexed="64"/>
      </patternFill>
    </fill>
    <fill>
      <patternFill patternType="solid">
        <fgColor rgb="FFF9DBF5"/>
        <bgColor indexed="64"/>
      </patternFill>
    </fill>
    <fill>
      <patternFill patternType="solid">
        <fgColor theme="7"/>
        <bgColor indexed="64"/>
      </patternFill>
    </fill>
    <fill>
      <patternFill patternType="solid">
        <fgColor theme="7" tint="0.59999389629810485"/>
        <bgColor indexed="64"/>
      </patternFill>
    </fill>
    <fill>
      <patternFill patternType="solid">
        <fgColor rgb="FF33CCCC"/>
        <bgColor indexed="64"/>
      </patternFill>
    </fill>
    <fill>
      <patternFill patternType="solid">
        <fgColor rgb="FFFFE5FD"/>
        <bgColor indexed="64"/>
      </patternFill>
    </fill>
    <fill>
      <patternFill patternType="solid">
        <fgColor rgb="FF0099CC"/>
        <bgColor indexed="64"/>
      </patternFill>
    </fill>
  </fills>
  <borders count="12">
    <border>
      <left/>
      <right/>
      <top/>
      <bottom/>
      <diagonal/>
    </border>
    <border>
      <left/>
      <right/>
      <top/>
      <bottom style="medium">
        <color indexed="64"/>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bottom style="thin">
        <color indexed="64"/>
      </bottom>
      <diagonal/>
    </border>
    <border>
      <left/>
      <right/>
      <top style="thin">
        <color theme="0" tint="-0.249977111117893"/>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
      <left/>
      <right/>
      <top style="thin">
        <color indexed="64"/>
      </top>
      <bottom/>
      <diagonal/>
    </border>
  </borders>
  <cellStyleXfs count="3">
    <xf numFmtId="0" fontId="0" fillId="0" borderId="0"/>
    <xf numFmtId="9" fontId="1" fillId="0" borderId="0" applyFont="0" applyFill="0" applyBorder="0" applyAlignment="0" applyProtection="0"/>
    <xf numFmtId="0" fontId="39" fillId="0" borderId="0"/>
  </cellStyleXfs>
  <cellXfs count="302">
    <xf numFmtId="0" fontId="0" fillId="0" borderId="0" xfId="0"/>
    <xf numFmtId="0" fontId="4" fillId="0" borderId="0" xfId="0" applyFont="1"/>
    <xf numFmtId="0" fontId="0" fillId="0" borderId="0" xfId="0" applyAlignment="1">
      <alignment horizontal="center"/>
    </xf>
    <xf numFmtId="0" fontId="5" fillId="0" borderId="0" xfId="0" applyFont="1"/>
    <xf numFmtId="9" fontId="0" fillId="0" borderId="0" xfId="1" applyFont="1"/>
    <xf numFmtId="0" fontId="6" fillId="2" borderId="1" xfId="0" applyFont="1" applyFill="1" applyBorder="1" applyAlignment="1">
      <alignment horizontal="center"/>
    </xf>
    <xf numFmtId="0" fontId="2" fillId="3" borderId="1" xfId="0" applyFont="1" applyFill="1" applyBorder="1" applyAlignment="1">
      <alignment horizontal="center"/>
    </xf>
    <xf numFmtId="0" fontId="7" fillId="4" borderId="0" xfId="0" applyFont="1" applyFill="1" applyAlignment="1">
      <alignment horizontal="center" vertical="center"/>
    </xf>
    <xf numFmtId="3" fontId="7" fillId="4" borderId="0" xfId="0" applyNumberFormat="1" applyFont="1" applyFill="1" applyAlignment="1">
      <alignment horizontal="center" vertical="center"/>
    </xf>
    <xf numFmtId="164" fontId="8" fillId="4" borderId="0" xfId="1" applyNumberFormat="1" applyFont="1" applyFill="1" applyAlignment="1">
      <alignment horizontal="center" vertical="center"/>
    </xf>
    <xf numFmtId="9" fontId="7" fillId="4" borderId="0" xfId="1" applyFont="1" applyFill="1" applyAlignment="1">
      <alignment horizontal="center" vertical="center"/>
    </xf>
    <xf numFmtId="0" fontId="3" fillId="0" borderId="0" xfId="0" applyFont="1" applyAlignment="1">
      <alignment horizontal="center" vertical="center"/>
    </xf>
    <xf numFmtId="3" fontId="0" fillId="0" borderId="0" xfId="0" applyNumberFormat="1" applyAlignment="1">
      <alignment horizontal="center" vertical="center"/>
    </xf>
    <xf numFmtId="164" fontId="8" fillId="0" borderId="0" xfId="1" applyNumberFormat="1" applyFont="1" applyFill="1" applyAlignment="1">
      <alignment horizontal="center" vertical="center"/>
    </xf>
    <xf numFmtId="10" fontId="3" fillId="0" borderId="0" xfId="1" applyNumberFormat="1" applyFont="1" applyAlignment="1">
      <alignment horizontal="center" vertical="center"/>
    </xf>
    <xf numFmtId="0" fontId="9" fillId="0" borderId="0" xfId="0" applyFont="1"/>
    <xf numFmtId="0" fontId="3" fillId="0" borderId="0" xfId="0" applyFont="1" applyAlignment="1">
      <alignment horizontal="center"/>
    </xf>
    <xf numFmtId="3" fontId="9" fillId="0" borderId="0" xfId="0" applyNumberFormat="1" applyFont="1" applyAlignment="1">
      <alignment horizontal="center" vertical="center"/>
    </xf>
    <xf numFmtId="3" fontId="10" fillId="0" borderId="0" xfId="0" applyNumberFormat="1" applyFont="1" applyAlignment="1">
      <alignment horizontal="center" vertical="center"/>
    </xf>
    <xf numFmtId="0" fontId="3" fillId="0" borderId="2" xfId="0" applyFont="1" applyBorder="1" applyAlignment="1">
      <alignment horizontal="center"/>
    </xf>
    <xf numFmtId="3" fontId="9" fillId="0" borderId="2" xfId="0" applyNumberFormat="1" applyFont="1" applyBorder="1" applyAlignment="1">
      <alignment horizontal="center" vertical="center"/>
    </xf>
    <xf numFmtId="164" fontId="11" fillId="0" borderId="2" xfId="1" applyNumberFormat="1" applyFont="1" applyFill="1" applyBorder="1" applyAlignment="1">
      <alignment horizontal="center" vertical="center"/>
    </xf>
    <xf numFmtId="164" fontId="11" fillId="4" borderId="0" xfId="1" applyNumberFormat="1" applyFont="1" applyFill="1" applyAlignment="1">
      <alignment horizontal="center" vertical="center"/>
    </xf>
    <xf numFmtId="164" fontId="11" fillId="0" borderId="0" xfId="1" applyNumberFormat="1" applyFont="1" applyFill="1" applyAlignment="1">
      <alignment horizontal="center" vertical="center"/>
    </xf>
    <xf numFmtId="165" fontId="3" fillId="0" borderId="0" xfId="1" applyNumberFormat="1" applyFont="1" applyAlignment="1">
      <alignment horizontal="center"/>
    </xf>
    <xf numFmtId="0" fontId="3" fillId="0" borderId="2" xfId="0" applyFont="1" applyBorder="1" applyAlignment="1">
      <alignment horizontal="center" vertical="center"/>
    </xf>
    <xf numFmtId="4" fontId="9" fillId="0" borderId="2" xfId="0" applyNumberFormat="1" applyFont="1" applyBorder="1" applyAlignment="1">
      <alignment horizontal="center"/>
    </xf>
    <xf numFmtId="164" fontId="8" fillId="0" borderId="2" xfId="1" applyNumberFormat="1" applyFont="1" applyFill="1" applyBorder="1" applyAlignment="1">
      <alignment horizontal="center" vertical="center"/>
    </xf>
    <xf numFmtId="165" fontId="3" fillId="0" borderId="2" xfId="1" applyNumberFormat="1" applyFont="1" applyBorder="1" applyAlignment="1">
      <alignment horizontal="center"/>
    </xf>
    <xf numFmtId="0" fontId="7" fillId="4" borderId="2" xfId="0" applyFont="1" applyFill="1" applyBorder="1" applyAlignment="1">
      <alignment horizontal="center" vertical="center"/>
    </xf>
    <xf numFmtId="3" fontId="7" fillId="4" borderId="2" xfId="0" applyNumberFormat="1" applyFont="1" applyFill="1" applyBorder="1" applyAlignment="1">
      <alignment horizontal="center" vertical="center"/>
    </xf>
    <xf numFmtId="164" fontId="8" fillId="4" borderId="2" xfId="1" applyNumberFormat="1" applyFont="1" applyFill="1" applyBorder="1" applyAlignment="1">
      <alignment horizontal="center" vertical="center"/>
    </xf>
    <xf numFmtId="165" fontId="7" fillId="5" borderId="2" xfId="1" applyNumberFormat="1" applyFont="1" applyFill="1" applyBorder="1" applyAlignment="1">
      <alignment horizontal="center" vertical="center"/>
    </xf>
    <xf numFmtId="0" fontId="7" fillId="4" borderId="3" xfId="0" applyFont="1" applyFill="1" applyBorder="1" applyAlignment="1">
      <alignment horizontal="center" vertical="center"/>
    </xf>
    <xf numFmtId="3" fontId="7" fillId="4" borderId="3" xfId="0" applyNumberFormat="1" applyFont="1" applyFill="1" applyBorder="1" applyAlignment="1">
      <alignment horizontal="center" vertical="center"/>
    </xf>
    <xf numFmtId="164" fontId="8" fillId="4" borderId="3" xfId="1" applyNumberFormat="1" applyFont="1" applyFill="1" applyBorder="1" applyAlignment="1">
      <alignment horizontal="center" vertical="center"/>
    </xf>
    <xf numFmtId="165" fontId="7" fillId="4" borderId="3" xfId="1" applyNumberFormat="1" applyFont="1" applyFill="1" applyBorder="1" applyAlignment="1">
      <alignment horizontal="center" vertical="center"/>
    </xf>
    <xf numFmtId="3" fontId="12" fillId="6" borderId="3" xfId="0" applyNumberFormat="1" applyFont="1" applyFill="1" applyBorder="1" applyAlignment="1">
      <alignment horizontal="center" vertical="center"/>
    </xf>
    <xf numFmtId="164" fontId="8" fillId="6" borderId="3" xfId="1" applyNumberFormat="1" applyFont="1" applyFill="1" applyBorder="1" applyAlignment="1">
      <alignment horizontal="center" vertical="center"/>
    </xf>
    <xf numFmtId="165" fontId="7" fillId="6" borderId="3" xfId="1" applyNumberFormat="1" applyFont="1" applyFill="1" applyBorder="1" applyAlignment="1">
      <alignment horizontal="center" vertical="center"/>
    </xf>
    <xf numFmtId="165" fontId="7" fillId="4" borderId="0" xfId="1" applyNumberFormat="1" applyFont="1" applyFill="1" applyAlignment="1">
      <alignment horizontal="center" vertical="center"/>
    </xf>
    <xf numFmtId="165" fontId="7" fillId="4" borderId="2" xfId="1" applyNumberFormat="1" applyFont="1" applyFill="1" applyBorder="1" applyAlignment="1">
      <alignment horizontal="center" vertical="center"/>
    </xf>
    <xf numFmtId="0" fontId="2" fillId="7" borderId="0" xfId="0" applyFont="1" applyFill="1" applyAlignment="1">
      <alignment horizontal="center" vertical="center"/>
    </xf>
    <xf numFmtId="3" fontId="2" fillId="7" borderId="0" xfId="0" applyNumberFormat="1" applyFont="1" applyFill="1" applyAlignment="1">
      <alignment horizontal="center" vertical="center"/>
    </xf>
    <xf numFmtId="164" fontId="8" fillId="7" borderId="0" xfId="1" applyNumberFormat="1" applyFont="1" applyFill="1" applyAlignment="1">
      <alignment horizontal="center" vertical="center"/>
    </xf>
    <xf numFmtId="0" fontId="3" fillId="7" borderId="0" xfId="0" applyFont="1" applyFill="1" applyAlignment="1">
      <alignment horizontal="center" vertical="center"/>
    </xf>
    <xf numFmtId="10" fontId="0" fillId="0" borderId="0" xfId="1" applyNumberFormat="1" applyFont="1"/>
    <xf numFmtId="0" fontId="3" fillId="0" borderId="0" xfId="0" applyFont="1"/>
    <xf numFmtId="0" fontId="13" fillId="0" borderId="0" xfId="0" applyFont="1" applyAlignment="1">
      <alignment horizontal="center"/>
    </xf>
    <xf numFmtId="10" fontId="14" fillId="0" borderId="0" xfId="1" applyNumberFormat="1" applyFont="1" applyAlignment="1">
      <alignment horizontal="center"/>
    </xf>
    <xf numFmtId="0" fontId="15" fillId="0" borderId="0" xfId="0" applyFont="1"/>
    <xf numFmtId="3" fontId="0" fillId="8" borderId="0" xfId="0" applyNumberFormat="1" applyFill="1" applyAlignment="1">
      <alignment horizontal="center" vertical="center"/>
    </xf>
    <xf numFmtId="164" fontId="8" fillId="0" borderId="0" xfId="1" applyNumberFormat="1" applyFont="1" applyFill="1" applyBorder="1" applyAlignment="1">
      <alignment horizontal="center" vertical="center"/>
    </xf>
    <xf numFmtId="10" fontId="0" fillId="9" borderId="0" xfId="1" applyNumberFormat="1" applyFont="1" applyFill="1"/>
    <xf numFmtId="0" fontId="16" fillId="10" borderId="0" xfId="0" applyFont="1" applyFill="1" applyAlignment="1">
      <alignment horizontal="right" vertical="center"/>
    </xf>
    <xf numFmtId="10" fontId="17" fillId="10" borderId="0" xfId="1" applyNumberFormat="1" applyFont="1" applyFill="1" applyAlignment="1">
      <alignment horizontal="center" vertical="center"/>
    </xf>
    <xf numFmtId="3" fontId="7" fillId="10" borderId="0" xfId="0" applyNumberFormat="1" applyFont="1" applyFill="1" applyAlignment="1">
      <alignment horizontal="center" vertical="center"/>
    </xf>
    <xf numFmtId="0" fontId="7" fillId="0" borderId="2" xfId="0" applyFont="1" applyBorder="1" applyAlignment="1">
      <alignment horizontal="center" vertical="center"/>
    </xf>
    <xf numFmtId="10" fontId="7" fillId="0" borderId="0" xfId="1" applyNumberFormat="1" applyFont="1" applyFill="1" applyAlignment="1">
      <alignment horizontal="center" vertical="center"/>
    </xf>
    <xf numFmtId="3" fontId="18" fillId="0" borderId="0" xfId="0" applyNumberFormat="1" applyFont="1"/>
    <xf numFmtId="10" fontId="0" fillId="0" borderId="0" xfId="1" applyNumberFormat="1" applyFont="1" applyAlignment="1">
      <alignment horizontal="center"/>
    </xf>
    <xf numFmtId="0" fontId="7" fillId="4" borderId="4" xfId="0" applyFont="1" applyFill="1" applyBorder="1" applyAlignment="1">
      <alignment horizontal="center" vertical="center"/>
    </xf>
    <xf numFmtId="0" fontId="0" fillId="4" borderId="4" xfId="0" applyFill="1" applyBorder="1"/>
    <xf numFmtId="0" fontId="0" fillId="4" borderId="4" xfId="0" applyFill="1" applyBorder="1" applyAlignment="1">
      <alignment horizontal="center"/>
    </xf>
    <xf numFmtId="0" fontId="3" fillId="0" borderId="4" xfId="0" applyFont="1" applyBorder="1" applyAlignment="1">
      <alignment horizontal="left" indent="4"/>
    </xf>
    <xf numFmtId="166" fontId="3" fillId="0" borderId="4" xfId="0" applyNumberFormat="1" applyFont="1" applyBorder="1" applyAlignment="1">
      <alignment horizontal="center"/>
    </xf>
    <xf numFmtId="3" fontId="3" fillId="0" borderId="4" xfId="0" applyNumberFormat="1" applyFont="1" applyBorder="1" applyAlignment="1">
      <alignment horizontal="center"/>
    </xf>
    <xf numFmtId="164" fontId="8" fillId="0" borderId="4" xfId="1" applyNumberFormat="1" applyFont="1" applyFill="1" applyBorder="1" applyAlignment="1">
      <alignment horizontal="center" vertical="center"/>
    </xf>
    <xf numFmtId="167" fontId="3" fillId="0" borderId="4" xfId="1" applyNumberFormat="1" applyFont="1" applyBorder="1" applyAlignment="1">
      <alignment horizontal="center"/>
    </xf>
    <xf numFmtId="0" fontId="19" fillId="0" borderId="0" xfId="0" applyFont="1" applyAlignment="1">
      <alignment horizontal="center"/>
    </xf>
    <xf numFmtId="166" fontId="20" fillId="0" borderId="0" xfId="0" applyNumberFormat="1" applyFont="1" applyAlignment="1">
      <alignment horizontal="center"/>
    </xf>
    <xf numFmtId="3" fontId="20" fillId="0" borderId="0" xfId="0" applyNumberFormat="1" applyFont="1" applyAlignment="1">
      <alignment horizontal="center" vertical="center"/>
    </xf>
    <xf numFmtId="164" fontId="21" fillId="0" borderId="2" xfId="1" applyNumberFormat="1" applyFont="1" applyFill="1" applyBorder="1" applyAlignment="1">
      <alignment horizontal="center" vertical="center"/>
    </xf>
    <xf numFmtId="167" fontId="20" fillId="0" borderId="0" xfId="1" applyNumberFormat="1" applyFont="1" applyAlignment="1">
      <alignment horizontal="center"/>
    </xf>
    <xf numFmtId="0" fontId="20" fillId="0" borderId="0" xfId="0" applyFont="1" applyAlignment="1">
      <alignment horizontal="center"/>
    </xf>
    <xf numFmtId="3" fontId="22" fillId="0" borderId="0" xfId="0" applyNumberFormat="1" applyFont="1" applyAlignment="1">
      <alignment horizontal="center" vertical="center"/>
    </xf>
    <xf numFmtId="164" fontId="23" fillId="0" borderId="2" xfId="1" applyNumberFormat="1" applyFont="1" applyFill="1" applyBorder="1" applyAlignment="1">
      <alignment horizontal="center" vertical="center"/>
    </xf>
    <xf numFmtId="164" fontId="11" fillId="0" borderId="4" xfId="1" applyNumberFormat="1" applyFont="1" applyFill="1" applyBorder="1" applyAlignment="1">
      <alignment horizontal="center" vertical="center"/>
    </xf>
    <xf numFmtId="0" fontId="19" fillId="11" borderId="0" xfId="0" applyFont="1" applyFill="1" applyAlignment="1">
      <alignment horizontal="center"/>
    </xf>
    <xf numFmtId="167" fontId="24" fillId="11" borderId="0" xfId="1" applyNumberFormat="1" applyFont="1" applyFill="1" applyAlignment="1">
      <alignment horizontal="center"/>
    </xf>
    <xf numFmtId="0" fontId="7" fillId="12" borderId="3" xfId="0" applyFont="1" applyFill="1" applyBorder="1" applyAlignment="1">
      <alignment horizontal="center" vertical="center"/>
    </xf>
    <xf numFmtId="3" fontId="7" fillId="8" borderId="0" xfId="0" applyNumberFormat="1" applyFont="1" applyFill="1" applyAlignment="1">
      <alignment horizontal="center" vertical="center"/>
    </xf>
    <xf numFmtId="3" fontId="7" fillId="12" borderId="0" xfId="0" applyNumberFormat="1" applyFont="1" applyFill="1" applyAlignment="1">
      <alignment horizontal="center" vertical="center"/>
    </xf>
    <xf numFmtId="0" fontId="25" fillId="0" borderId="0" xfId="0" applyFont="1" applyAlignment="1">
      <alignment horizontal="right"/>
    </xf>
    <xf numFmtId="3" fontId="25" fillId="0" borderId="0" xfId="0" applyNumberFormat="1" applyFont="1" applyAlignment="1">
      <alignment horizontal="center" vertical="center"/>
    </xf>
    <xf numFmtId="0" fontId="5" fillId="0" borderId="0" xfId="0" applyFont="1" applyAlignment="1">
      <alignment vertical="center"/>
    </xf>
    <xf numFmtId="0" fontId="0" fillId="0" borderId="0" xfId="0" applyAlignment="1">
      <alignment vertical="center"/>
    </xf>
    <xf numFmtId="0" fontId="6" fillId="2" borderId="1" xfId="0" applyFont="1" applyFill="1" applyBorder="1" applyAlignment="1">
      <alignment horizontal="center" vertical="center"/>
    </xf>
    <xf numFmtId="0" fontId="2" fillId="3" borderId="1" xfId="0" applyFont="1" applyFill="1" applyBorder="1" applyAlignment="1">
      <alignment horizontal="center" vertical="center"/>
    </xf>
    <xf numFmtId="4" fontId="18" fillId="4" borderId="0" xfId="0" applyNumberFormat="1" applyFont="1" applyFill="1" applyAlignment="1">
      <alignment horizontal="center" vertical="center"/>
    </xf>
    <xf numFmtId="0" fontId="0" fillId="4" borderId="0" xfId="0" applyFill="1" applyAlignment="1">
      <alignment vertical="center"/>
    </xf>
    <xf numFmtId="4" fontId="0" fillId="0" borderId="0" xfId="0" applyNumberFormat="1" applyAlignment="1">
      <alignment horizontal="center" vertical="center"/>
    </xf>
    <xf numFmtId="4" fontId="7" fillId="4" borderId="0" xfId="0" applyNumberFormat="1" applyFont="1" applyFill="1" applyAlignment="1">
      <alignment horizontal="center" vertical="center"/>
    </xf>
    <xf numFmtId="0" fontId="3" fillId="4" borderId="0" xfId="0" applyFont="1" applyFill="1" applyAlignment="1">
      <alignment vertical="center"/>
    </xf>
    <xf numFmtId="0" fontId="3" fillId="4" borderId="0" xfId="0" applyFont="1" applyFill="1" applyAlignment="1">
      <alignment horizontal="center" vertical="center"/>
    </xf>
    <xf numFmtId="0" fontId="28" fillId="3" borderId="1" xfId="0" applyFont="1" applyFill="1" applyBorder="1" applyAlignment="1">
      <alignment horizontal="center" vertical="center"/>
    </xf>
    <xf numFmtId="0" fontId="28" fillId="2" borderId="1" xfId="0" applyFont="1" applyFill="1" applyBorder="1" applyAlignment="1">
      <alignment horizontal="center"/>
    </xf>
    <xf numFmtId="0" fontId="15" fillId="13" borderId="0" xfId="0" applyFont="1" applyFill="1"/>
    <xf numFmtId="3" fontId="0" fillId="13" borderId="0" xfId="0" applyNumberFormat="1" applyFill="1" applyAlignment="1">
      <alignment horizontal="center" vertical="center"/>
    </xf>
    <xf numFmtId="3" fontId="0" fillId="0" borderId="0" xfId="0" applyNumberFormat="1"/>
    <xf numFmtId="3" fontId="11" fillId="4" borderId="4" xfId="0" applyNumberFormat="1" applyFont="1" applyFill="1" applyBorder="1" applyAlignment="1">
      <alignment horizontal="center" vertical="center"/>
    </xf>
    <xf numFmtId="0" fontId="30" fillId="0" borderId="0" xfId="0" applyFont="1"/>
    <xf numFmtId="0" fontId="31" fillId="0" borderId="0" xfId="0" applyFont="1"/>
    <xf numFmtId="3" fontId="32" fillId="0" borderId="0" xfId="0" applyNumberFormat="1" applyFont="1" applyAlignment="1">
      <alignment horizontal="center" vertical="center"/>
    </xf>
    <xf numFmtId="3" fontId="33" fillId="14" borderId="0" xfId="0" applyNumberFormat="1" applyFont="1" applyFill="1" applyAlignment="1">
      <alignment horizontal="center" vertical="center"/>
    </xf>
    <xf numFmtId="0" fontId="34" fillId="14" borderId="0" xfId="0" applyFont="1" applyFill="1"/>
    <xf numFmtId="0" fontId="35" fillId="0" borderId="0" xfId="0" applyFont="1"/>
    <xf numFmtId="3" fontId="36" fillId="0" borderId="0" xfId="0" applyNumberFormat="1" applyFont="1" applyAlignment="1">
      <alignment horizontal="center" vertical="center"/>
    </xf>
    <xf numFmtId="0" fontId="36" fillId="0" borderId="0" xfId="0" applyFont="1"/>
    <xf numFmtId="0" fontId="37" fillId="4" borderId="0" xfId="0" applyFont="1" applyFill="1" applyAlignment="1">
      <alignment horizontal="center" vertical="center"/>
    </xf>
    <xf numFmtId="3" fontId="37" fillId="4" borderId="0" xfId="0" applyNumberFormat="1" applyFont="1" applyFill="1" applyAlignment="1">
      <alignment horizontal="center" vertical="center"/>
    </xf>
    <xf numFmtId="0" fontId="37" fillId="0" borderId="0" xfId="0" applyFont="1" applyAlignment="1">
      <alignment horizontal="center" vertical="center"/>
    </xf>
    <xf numFmtId="3" fontId="38" fillId="0" borderId="0" xfId="0" applyNumberFormat="1" applyFont="1" applyAlignment="1">
      <alignment horizontal="center" vertical="center"/>
    </xf>
    <xf numFmtId="0" fontId="37" fillId="0" borderId="0" xfId="0" applyFont="1" applyAlignment="1">
      <alignment horizontal="center"/>
    </xf>
    <xf numFmtId="0" fontId="37" fillId="0" borderId="5" xfId="0" applyFont="1" applyBorder="1" applyAlignment="1">
      <alignment horizontal="center"/>
    </xf>
    <xf numFmtId="3" fontId="38" fillId="0" borderId="5" xfId="0" applyNumberFormat="1" applyFont="1" applyBorder="1" applyAlignment="1">
      <alignment horizontal="center" vertical="center"/>
    </xf>
    <xf numFmtId="3" fontId="11" fillId="16" borderId="0" xfId="0" applyNumberFormat="1" applyFont="1" applyFill="1"/>
    <xf numFmtId="0" fontId="37" fillId="0" borderId="2" xfId="0" applyFont="1" applyBorder="1" applyAlignment="1">
      <alignment horizontal="center" vertical="center"/>
    </xf>
    <xf numFmtId="4" fontId="38" fillId="0" borderId="2" xfId="0" applyNumberFormat="1" applyFont="1" applyBorder="1" applyAlignment="1">
      <alignment horizontal="center"/>
    </xf>
    <xf numFmtId="0" fontId="37" fillId="4" borderId="2" xfId="0" applyFont="1" applyFill="1" applyBorder="1" applyAlignment="1">
      <alignment horizontal="center" vertical="center"/>
    </xf>
    <xf numFmtId="3" fontId="37" fillId="4" borderId="2" xfId="0" applyNumberFormat="1" applyFont="1" applyFill="1" applyBorder="1" applyAlignment="1">
      <alignment horizontal="center" vertical="center"/>
    </xf>
    <xf numFmtId="4" fontId="0" fillId="0" borderId="0" xfId="0" applyNumberFormat="1"/>
    <xf numFmtId="0" fontId="37" fillId="4" borderId="3" xfId="0" applyFont="1" applyFill="1" applyBorder="1" applyAlignment="1">
      <alignment horizontal="center" vertical="center"/>
    </xf>
    <xf numFmtId="0" fontId="12" fillId="6" borderId="3" xfId="0" applyFont="1" applyFill="1" applyBorder="1" applyAlignment="1">
      <alignment horizontal="right" vertical="center"/>
    </xf>
    <xf numFmtId="0" fontId="37" fillId="0" borderId="0" xfId="0" applyFont="1" applyFill="1" applyBorder="1" applyAlignment="1">
      <alignment horizontal="center" vertical="center"/>
    </xf>
    <xf numFmtId="3" fontId="37" fillId="0" borderId="0" xfId="0" applyNumberFormat="1" applyFont="1" applyFill="1" applyBorder="1" applyAlignment="1">
      <alignment horizontal="center" vertical="center"/>
    </xf>
    <xf numFmtId="0" fontId="0" fillId="0" borderId="0" xfId="0" applyFill="1"/>
    <xf numFmtId="0" fontId="8" fillId="0" borderId="0" xfId="0" applyFont="1" applyAlignment="1">
      <alignment horizontal="center" vertical="center"/>
    </xf>
    <xf numFmtId="3" fontId="40" fillId="0" borderId="0" xfId="0" applyNumberFormat="1" applyFont="1" applyFill="1" applyBorder="1" applyAlignment="1">
      <alignment horizontal="center" vertical="center"/>
    </xf>
    <xf numFmtId="3" fontId="8" fillId="0" borderId="0" xfId="0" applyNumberFormat="1" applyFont="1" applyFill="1" applyBorder="1" applyAlignment="1">
      <alignment horizontal="center" vertical="center"/>
    </xf>
    <xf numFmtId="0" fontId="0" fillId="0" borderId="0" xfId="0"/>
    <xf numFmtId="0" fontId="41" fillId="0" borderId="0" xfId="0" applyFont="1" applyFill="1" applyBorder="1" applyAlignment="1">
      <alignment horizontal="center" vertical="center"/>
    </xf>
    <xf numFmtId="3" fontId="43" fillId="0" borderId="0" xfId="0" applyNumberFormat="1" applyFont="1" applyFill="1" applyBorder="1" applyAlignment="1">
      <alignment horizontal="center" vertical="center"/>
    </xf>
    <xf numFmtId="3" fontId="9" fillId="0" borderId="0" xfId="0" applyNumberFormat="1" applyFont="1" applyFill="1" applyBorder="1" applyAlignment="1">
      <alignment horizontal="center" vertical="center"/>
    </xf>
    <xf numFmtId="0" fontId="8" fillId="0" borderId="0" xfId="0" applyFont="1" applyFill="1" applyBorder="1" applyAlignment="1">
      <alignment horizontal="center" vertical="center"/>
    </xf>
    <xf numFmtId="3" fontId="38" fillId="0" borderId="0" xfId="0" applyNumberFormat="1" applyFont="1" applyFill="1" applyBorder="1" applyAlignment="1">
      <alignment horizontal="center" vertical="center"/>
    </xf>
    <xf numFmtId="0" fontId="3" fillId="17" borderId="0" xfId="0" applyFont="1" applyFill="1" applyAlignment="1">
      <alignment horizontal="center" vertical="center"/>
    </xf>
    <xf numFmtId="3" fontId="0" fillId="17" borderId="0" xfId="0" applyNumberFormat="1" applyFill="1" applyAlignment="1">
      <alignment horizontal="center" vertical="center"/>
    </xf>
    <xf numFmtId="0" fontId="41" fillId="17" borderId="0" xfId="0" applyFont="1" applyFill="1" applyBorder="1" applyAlignment="1">
      <alignment horizontal="center" vertical="center"/>
    </xf>
    <xf numFmtId="3" fontId="41" fillId="17" borderId="0" xfId="0" applyNumberFormat="1" applyFont="1" applyFill="1" applyBorder="1" applyAlignment="1">
      <alignment horizontal="center" vertical="center"/>
    </xf>
    <xf numFmtId="0" fontId="42" fillId="0" borderId="0" xfId="0" applyFont="1" applyFill="1" applyBorder="1" applyAlignment="1">
      <alignment horizontal="center" vertical="center"/>
    </xf>
    <xf numFmtId="0" fontId="0" fillId="0" borderId="0" xfId="0" applyFill="1" applyAlignment="1">
      <alignment horizontal="left" vertical="center" wrapText="1"/>
    </xf>
    <xf numFmtId="0" fontId="0" fillId="0" borderId="0" xfId="0" applyFill="1" applyAlignment="1">
      <alignment horizontal="left" vertical="center"/>
    </xf>
    <xf numFmtId="3" fontId="43" fillId="0" borderId="0" xfId="0" applyNumberFormat="1" applyFont="1" applyAlignment="1">
      <alignment horizontal="center"/>
    </xf>
    <xf numFmtId="0" fontId="2" fillId="18" borderId="0" xfId="0" applyFont="1" applyFill="1" applyAlignment="1">
      <alignment horizontal="center" vertical="center"/>
    </xf>
    <xf numFmtId="3" fontId="2" fillId="18" borderId="0" xfId="0" applyNumberFormat="1" applyFont="1" applyFill="1" applyAlignment="1">
      <alignment horizontal="center" vertical="center"/>
    </xf>
    <xf numFmtId="0" fontId="0" fillId="5" borderId="0" xfId="0" applyFill="1" applyAlignment="1">
      <alignment horizontal="left" wrapText="1"/>
    </xf>
    <xf numFmtId="3" fontId="11" fillId="8" borderId="4" xfId="0" applyNumberFormat="1" applyFont="1" applyFill="1" applyBorder="1" applyAlignment="1">
      <alignment horizontal="center" vertical="center"/>
    </xf>
    <xf numFmtId="3" fontId="43" fillId="0" borderId="0" xfId="0" applyNumberFormat="1" applyFont="1" applyAlignment="1">
      <alignment horizontal="center" vertical="center"/>
    </xf>
    <xf numFmtId="0" fontId="0" fillId="0" borderId="1" xfId="0" applyBorder="1"/>
    <xf numFmtId="0" fontId="2" fillId="19" borderId="1" xfId="0" applyFont="1" applyFill="1" applyBorder="1" applyAlignment="1">
      <alignment horizontal="center" vertical="center"/>
    </xf>
    <xf numFmtId="0" fontId="2" fillId="20" borderId="1" xfId="0" applyFont="1" applyFill="1" applyBorder="1" applyAlignment="1">
      <alignment horizontal="center" vertical="center"/>
    </xf>
    <xf numFmtId="0" fontId="45" fillId="8" borderId="1" xfId="0" applyFont="1" applyFill="1" applyBorder="1" applyAlignment="1">
      <alignment horizontal="center" vertical="center"/>
    </xf>
    <xf numFmtId="0" fontId="2" fillId="21" borderId="1" xfId="0" applyFont="1" applyFill="1" applyBorder="1" applyAlignment="1">
      <alignment horizontal="center" vertical="center"/>
    </xf>
    <xf numFmtId="0" fontId="2" fillId="21" borderId="1" xfId="0" applyFont="1" applyFill="1" applyBorder="1" applyAlignment="1">
      <alignment horizontal="center" vertical="center" wrapText="1"/>
    </xf>
    <xf numFmtId="0" fontId="2" fillId="22" borderId="1" xfId="0" applyFont="1" applyFill="1" applyBorder="1" applyAlignment="1">
      <alignment horizontal="center" vertical="center"/>
    </xf>
    <xf numFmtId="0" fontId="2" fillId="22" borderId="1" xfId="0" applyFont="1" applyFill="1" applyBorder="1" applyAlignment="1">
      <alignment horizontal="center" vertical="center" wrapText="1"/>
    </xf>
    <xf numFmtId="0" fontId="0" fillId="0" borderId="6" xfId="0" applyBorder="1" applyAlignment="1">
      <alignment horizontal="left"/>
    </xf>
    <xf numFmtId="0" fontId="3" fillId="0" borderId="0" xfId="0" applyFont="1" applyAlignment="1">
      <alignment horizontal="center" vertical="center" wrapText="1"/>
    </xf>
    <xf numFmtId="0" fontId="0" fillId="0" borderId="0" xfId="0" applyAlignment="1">
      <alignment horizontal="center" vertical="center" wrapText="1"/>
    </xf>
    <xf numFmtId="0" fontId="22" fillId="0" borderId="0" xfId="0" applyFont="1" applyAlignment="1">
      <alignment horizontal="left" vertical="center" wrapText="1"/>
    </xf>
    <xf numFmtId="3" fontId="47" fillId="0" borderId="0" xfId="0" applyNumberFormat="1" applyFont="1" applyAlignment="1">
      <alignment horizontal="center" vertical="center"/>
    </xf>
    <xf numFmtId="0" fontId="47" fillId="0" borderId="7" xfId="0" applyFont="1" applyBorder="1" applyAlignment="1">
      <alignment horizontal="left"/>
    </xf>
    <xf numFmtId="0" fontId="0" fillId="0" borderId="0" xfId="0" applyAlignment="1">
      <alignment horizontal="center" vertical="center"/>
    </xf>
    <xf numFmtId="3" fontId="0" fillId="4" borderId="4" xfId="0" applyNumberFormat="1" applyFill="1" applyBorder="1" applyAlignment="1">
      <alignment horizontal="center" vertical="center"/>
    </xf>
    <xf numFmtId="0" fontId="7" fillId="4" borderId="8" xfId="0" applyFont="1" applyFill="1" applyBorder="1" applyAlignment="1">
      <alignment horizontal="center" vertical="center"/>
    </xf>
    <xf numFmtId="0" fontId="7" fillId="4" borderId="9" xfId="0" applyFont="1" applyFill="1" applyBorder="1" applyAlignment="1">
      <alignment horizontal="center" vertical="center"/>
    </xf>
    <xf numFmtId="3" fontId="0" fillId="4" borderId="9" xfId="0" applyNumberFormat="1" applyFill="1" applyBorder="1" applyAlignment="1">
      <alignment horizontal="center" vertical="center"/>
    </xf>
    <xf numFmtId="0" fontId="7" fillId="23" borderId="4" xfId="0" applyFont="1" applyFill="1" applyBorder="1" applyAlignment="1">
      <alignment horizontal="center" vertical="center"/>
    </xf>
    <xf numFmtId="3" fontId="0" fillId="23" borderId="4" xfId="0" applyNumberFormat="1" applyFill="1" applyBorder="1" applyAlignment="1">
      <alignment horizontal="center" vertical="center"/>
    </xf>
    <xf numFmtId="0" fontId="7" fillId="23" borderId="8" xfId="0" applyFont="1" applyFill="1" applyBorder="1" applyAlignment="1">
      <alignment horizontal="center" vertical="center"/>
    </xf>
    <xf numFmtId="3" fontId="0" fillId="23" borderId="8" xfId="0" applyNumberFormat="1" applyFill="1" applyBorder="1" applyAlignment="1">
      <alignment horizontal="center"/>
    </xf>
    <xf numFmtId="0" fontId="7" fillId="23" borderId="9" xfId="0" applyFont="1" applyFill="1" applyBorder="1" applyAlignment="1">
      <alignment horizontal="center" vertical="center"/>
    </xf>
    <xf numFmtId="3" fontId="0" fillId="23" borderId="9" xfId="0" applyNumberFormat="1" applyFill="1" applyBorder="1" applyAlignment="1">
      <alignment horizontal="center"/>
    </xf>
    <xf numFmtId="0" fontId="0" fillId="0" borderId="0" xfId="0" applyAlignment="1">
      <alignment horizontal="left"/>
    </xf>
    <xf numFmtId="0" fontId="50" fillId="0" borderId="0" xfId="0" applyFont="1"/>
    <xf numFmtId="0" fontId="44" fillId="0" borderId="0" xfId="0" applyFont="1"/>
    <xf numFmtId="0" fontId="0" fillId="0" borderId="0" xfId="0"/>
    <xf numFmtId="3" fontId="0" fillId="0" borderId="0" xfId="0" applyNumberFormat="1"/>
    <xf numFmtId="10" fontId="0" fillId="24" borderId="0" xfId="0" applyNumberFormat="1" applyFill="1"/>
    <xf numFmtId="0" fontId="33" fillId="0" borderId="0" xfId="0" applyFont="1" applyAlignment="1">
      <alignment horizontal="right"/>
    </xf>
    <xf numFmtId="10" fontId="25" fillId="0" borderId="0" xfId="1" applyNumberFormat="1" applyFont="1"/>
    <xf numFmtId="0" fontId="52" fillId="0" borderId="0" xfId="0" applyFont="1" applyAlignment="1">
      <alignment horizontal="center"/>
    </xf>
    <xf numFmtId="3" fontId="53" fillId="0" borderId="0" xfId="0" applyNumberFormat="1" applyFont="1" applyAlignment="1">
      <alignment horizontal="center" vertical="center"/>
    </xf>
    <xf numFmtId="0" fontId="54" fillId="0" borderId="0" xfId="0" applyFont="1" applyAlignment="1">
      <alignment horizontal="center"/>
    </xf>
    <xf numFmtId="3" fontId="55" fillId="0" borderId="0" xfId="0" applyNumberFormat="1" applyFont="1" applyAlignment="1">
      <alignment horizontal="center" vertical="center"/>
    </xf>
    <xf numFmtId="0" fontId="41" fillId="0" borderId="0" xfId="0" applyFont="1" applyAlignment="1">
      <alignment horizontal="center"/>
    </xf>
    <xf numFmtId="0" fontId="3" fillId="25" borderId="0" xfId="0" applyFont="1" applyFill="1" applyAlignment="1">
      <alignment horizontal="center"/>
    </xf>
    <xf numFmtId="3" fontId="41" fillId="25" borderId="0" xfId="0" applyNumberFormat="1" applyFont="1" applyFill="1" applyAlignment="1">
      <alignment horizontal="center" vertical="center"/>
    </xf>
    <xf numFmtId="3" fontId="3" fillId="25" borderId="0" xfId="0" applyNumberFormat="1" applyFont="1" applyFill="1" applyAlignment="1">
      <alignment horizontal="center" vertical="center"/>
    </xf>
    <xf numFmtId="3" fontId="51" fillId="25" borderId="0" xfId="0" applyNumberFormat="1" applyFont="1" applyFill="1" applyAlignment="1">
      <alignment horizontal="center" vertical="center"/>
    </xf>
    <xf numFmtId="0" fontId="37" fillId="25" borderId="0" xfId="0" applyFont="1" applyFill="1" applyAlignment="1">
      <alignment horizontal="center"/>
    </xf>
    <xf numFmtId="3" fontId="38" fillId="25" borderId="0" xfId="0" applyNumberFormat="1" applyFont="1" applyFill="1" applyAlignment="1">
      <alignment horizontal="center" vertical="center"/>
    </xf>
    <xf numFmtId="0" fontId="41" fillId="25" borderId="0" xfId="0" applyFont="1" applyFill="1" applyAlignment="1">
      <alignment horizontal="center"/>
    </xf>
    <xf numFmtId="0" fontId="49" fillId="0" borderId="0" xfId="0" applyFont="1"/>
    <xf numFmtId="10" fontId="0" fillId="25" borderId="0" xfId="1" applyNumberFormat="1" applyFont="1" applyFill="1" applyAlignment="1">
      <alignment horizontal="center" vertical="center"/>
    </xf>
    <xf numFmtId="10" fontId="0" fillId="25" borderId="0" xfId="1" applyNumberFormat="1" applyFont="1" applyFill="1" applyAlignment="1">
      <alignment horizontal="center"/>
    </xf>
    <xf numFmtId="0" fontId="56" fillId="0" borderId="0" xfId="0" applyFont="1" applyAlignment="1">
      <alignment horizontal="center"/>
    </xf>
    <xf numFmtId="3" fontId="57" fillId="0" borderId="0" xfId="0" applyNumberFormat="1" applyFont="1" applyAlignment="1">
      <alignment horizontal="center" vertical="center"/>
    </xf>
    <xf numFmtId="0" fontId="3" fillId="14" borderId="0" xfId="0" applyFont="1" applyFill="1" applyAlignment="1">
      <alignment horizontal="center"/>
    </xf>
    <xf numFmtId="3" fontId="0" fillId="14" borderId="0" xfId="0" applyNumberFormat="1" applyFill="1" applyAlignment="1">
      <alignment horizontal="center" vertical="center"/>
    </xf>
    <xf numFmtId="0" fontId="49" fillId="14" borderId="0" xfId="0" applyFont="1" applyFill="1"/>
    <xf numFmtId="0" fontId="58" fillId="0" borderId="0" xfId="0" applyFont="1"/>
    <xf numFmtId="0" fontId="48" fillId="0" borderId="0" xfId="0" applyFont="1" applyAlignment="1">
      <alignment horizontal="center"/>
    </xf>
    <xf numFmtId="3" fontId="48" fillId="0" borderId="0" xfId="0" applyNumberFormat="1" applyFont="1" applyAlignment="1">
      <alignment horizontal="center" vertical="center"/>
    </xf>
    <xf numFmtId="3" fontId="0" fillId="4" borderId="0" xfId="0" applyNumberFormat="1" applyFill="1" applyAlignment="1">
      <alignment horizontal="center" vertical="center"/>
    </xf>
    <xf numFmtId="3" fontId="47" fillId="0" borderId="0" xfId="0" applyNumberFormat="1" applyFont="1" applyFill="1" applyAlignment="1">
      <alignment horizontal="center" vertical="center"/>
    </xf>
    <xf numFmtId="10" fontId="50" fillId="8" borderId="0" xfId="1" applyNumberFormat="1" applyFont="1" applyFill="1"/>
    <xf numFmtId="0" fontId="3" fillId="8" borderId="0" xfId="0" applyFont="1" applyFill="1" applyAlignment="1">
      <alignment horizontal="center"/>
    </xf>
    <xf numFmtId="3" fontId="41" fillId="8" borderId="0" xfId="0" applyNumberFormat="1" applyFont="1" applyFill="1" applyAlignment="1">
      <alignment horizontal="center" vertical="center"/>
    </xf>
    <xf numFmtId="3" fontId="3" fillId="8" borderId="0" xfId="0" applyNumberFormat="1" applyFont="1" applyFill="1" applyAlignment="1">
      <alignment horizontal="center" vertical="center"/>
    </xf>
    <xf numFmtId="0" fontId="11" fillId="0" borderId="0" xfId="0" applyFont="1" applyAlignment="1">
      <alignment horizontal="center"/>
    </xf>
    <xf numFmtId="3" fontId="11" fillId="0" borderId="0" xfId="0" applyNumberFormat="1" applyFont="1" applyAlignment="1">
      <alignment horizontal="center"/>
    </xf>
    <xf numFmtId="9" fontId="11" fillId="0" borderId="0" xfId="1" applyFont="1" applyAlignment="1">
      <alignment horizontal="center"/>
    </xf>
    <xf numFmtId="0" fontId="54" fillId="0" borderId="0" xfId="0" applyFont="1" applyBorder="1" applyAlignment="1">
      <alignment horizontal="center"/>
    </xf>
    <xf numFmtId="3" fontId="55" fillId="0" borderId="0" xfId="0" applyNumberFormat="1" applyFont="1" applyBorder="1" applyAlignment="1">
      <alignment horizontal="center" vertical="center"/>
    </xf>
    <xf numFmtId="0" fontId="54" fillId="0" borderId="4" xfId="0" applyFont="1" applyBorder="1" applyAlignment="1">
      <alignment horizontal="center"/>
    </xf>
    <xf numFmtId="3" fontId="55" fillId="0" borderId="4" xfId="0" applyNumberFormat="1" applyFont="1" applyBorder="1" applyAlignment="1">
      <alignment horizontal="center" vertical="center"/>
    </xf>
    <xf numFmtId="0" fontId="0" fillId="8" borderId="0" xfId="0" applyFill="1" applyAlignment="1">
      <alignment horizontal="center"/>
    </xf>
    <xf numFmtId="3" fontId="9" fillId="8" borderId="0" xfId="0" applyNumberFormat="1" applyFont="1" applyFill="1" applyAlignment="1">
      <alignment horizontal="center" vertical="center"/>
    </xf>
    <xf numFmtId="3" fontId="38" fillId="0" borderId="0" xfId="0" applyNumberFormat="1" applyFont="1" applyFill="1" applyAlignment="1">
      <alignment horizontal="center" vertical="center"/>
    </xf>
    <xf numFmtId="3" fontId="0" fillId="0" borderId="0" xfId="0" applyNumberFormat="1" applyFill="1" applyAlignment="1">
      <alignment horizontal="center" vertical="center"/>
    </xf>
    <xf numFmtId="0" fontId="59" fillId="0" borderId="2" xfId="0" applyFont="1" applyBorder="1" applyAlignment="1">
      <alignment horizontal="center" vertical="center"/>
    </xf>
    <xf numFmtId="10" fontId="59" fillId="0" borderId="0" xfId="1" applyNumberFormat="1" applyFont="1" applyFill="1" applyAlignment="1">
      <alignment horizontal="center" vertical="center"/>
    </xf>
    <xf numFmtId="0" fontId="60" fillId="0" borderId="0" xfId="0" applyFont="1"/>
    <xf numFmtId="10" fontId="3" fillId="0" borderId="0" xfId="1" applyNumberFormat="1" applyFont="1" applyAlignment="1">
      <alignment horizontal="center"/>
    </xf>
    <xf numFmtId="10" fontId="3" fillId="0" borderId="4" xfId="1" applyNumberFormat="1" applyFont="1" applyBorder="1" applyAlignment="1">
      <alignment horizontal="center"/>
    </xf>
    <xf numFmtId="0" fontId="61" fillId="26" borderId="1" xfId="0" applyFont="1" applyFill="1" applyBorder="1" applyAlignment="1">
      <alignment horizontal="center"/>
    </xf>
    <xf numFmtId="0" fontId="3" fillId="0" borderId="4" xfId="0" applyFont="1" applyBorder="1" applyAlignment="1">
      <alignment horizontal="center"/>
    </xf>
    <xf numFmtId="0" fontId="3" fillId="0" borderId="0" xfId="0" applyFont="1" applyBorder="1" applyAlignment="1">
      <alignment horizontal="left"/>
    </xf>
    <xf numFmtId="0" fontId="3" fillId="0" borderId="4" xfId="0" applyFont="1" applyBorder="1" applyAlignment="1">
      <alignment horizontal="left"/>
    </xf>
    <xf numFmtId="0" fontId="3" fillId="0" borderId="0" xfId="0" applyFont="1" applyFill="1" applyBorder="1" applyAlignment="1">
      <alignment horizontal="center"/>
    </xf>
    <xf numFmtId="0" fontId="3" fillId="0" borderId="4" xfId="0" applyFont="1" applyFill="1" applyBorder="1" applyAlignment="1">
      <alignment horizontal="center"/>
    </xf>
    <xf numFmtId="0" fontId="0" fillId="25" borderId="0" xfId="0" applyFill="1"/>
    <xf numFmtId="10" fontId="0" fillId="25" borderId="0" xfId="1" applyNumberFormat="1" applyFont="1" applyFill="1"/>
    <xf numFmtId="0" fontId="3" fillId="0" borderId="0" xfId="0" applyFont="1" applyAlignment="1">
      <alignment horizontal="center" vertical="center"/>
    </xf>
    <xf numFmtId="0" fontId="7" fillId="4" borderId="0" xfId="0" applyFont="1" applyFill="1" applyAlignment="1">
      <alignment horizontal="center" vertical="center"/>
    </xf>
    <xf numFmtId="166" fontId="23" fillId="0" borderId="0" xfId="0" applyNumberFormat="1" applyFont="1" applyAlignment="1">
      <alignment horizontal="center"/>
    </xf>
    <xf numFmtId="166" fontId="0" fillId="8" borderId="0" xfId="0" applyNumberFormat="1" applyFill="1"/>
    <xf numFmtId="0" fontId="7" fillId="14" borderId="0" xfId="0" applyFont="1" applyFill="1" applyAlignment="1">
      <alignment horizontal="center" vertical="center"/>
    </xf>
    <xf numFmtId="3" fontId="7" fillId="14" borderId="0" xfId="0" applyNumberFormat="1" applyFont="1" applyFill="1" applyAlignment="1">
      <alignment horizontal="center" vertical="center"/>
    </xf>
    <xf numFmtId="0" fontId="16" fillId="27" borderId="0" xfId="0" applyFont="1" applyFill="1" applyAlignment="1">
      <alignment horizontal="right" vertical="center"/>
    </xf>
    <xf numFmtId="10" fontId="17" fillId="27" borderId="0" xfId="1" applyNumberFormat="1" applyFont="1" applyFill="1" applyAlignment="1">
      <alignment horizontal="center" vertical="center"/>
    </xf>
    <xf numFmtId="3" fontId="7" fillId="27" borderId="0" xfId="0" applyNumberFormat="1" applyFont="1" applyFill="1" applyAlignment="1">
      <alignment horizontal="center" vertical="center"/>
    </xf>
    <xf numFmtId="10" fontId="3" fillId="27" borderId="0" xfId="1" applyNumberFormat="1" applyFont="1" applyFill="1" applyBorder="1" applyAlignment="1">
      <alignment horizontal="center"/>
    </xf>
    <xf numFmtId="0" fontId="3" fillId="27" borderId="0" xfId="0" applyFont="1" applyFill="1" applyBorder="1" applyAlignment="1">
      <alignment horizontal="left"/>
    </xf>
    <xf numFmtId="10" fontId="3" fillId="27" borderId="4" xfId="1" applyNumberFormat="1" applyFont="1" applyFill="1" applyBorder="1" applyAlignment="1">
      <alignment horizontal="center"/>
    </xf>
    <xf numFmtId="0" fontId="3" fillId="27" borderId="4" xfId="0" applyFont="1" applyFill="1" applyBorder="1" applyAlignment="1">
      <alignment horizontal="left"/>
    </xf>
    <xf numFmtId="0" fontId="3" fillId="27" borderId="0" xfId="0" applyFont="1" applyFill="1" applyAlignment="1">
      <alignment horizontal="center"/>
    </xf>
    <xf numFmtId="0" fontId="0" fillId="27" borderId="0" xfId="0" applyFill="1" applyBorder="1" applyAlignment="1">
      <alignment horizontal="center"/>
    </xf>
    <xf numFmtId="0" fontId="3" fillId="27" borderId="0" xfId="0" applyFont="1" applyFill="1" applyAlignment="1">
      <alignment horizontal="left"/>
    </xf>
    <xf numFmtId="0" fontId="3" fillId="27" borderId="4" xfId="0" applyFont="1" applyFill="1" applyBorder="1" applyAlignment="1">
      <alignment horizontal="center"/>
    </xf>
    <xf numFmtId="0" fontId="3" fillId="27" borderId="0" xfId="0" applyFont="1" applyFill="1" applyBorder="1" applyAlignment="1">
      <alignment horizontal="center"/>
    </xf>
    <xf numFmtId="2" fontId="0" fillId="0" borderId="0" xfId="0" applyNumberFormat="1"/>
    <xf numFmtId="168" fontId="0" fillId="0" borderId="0" xfId="0" applyNumberFormat="1"/>
    <xf numFmtId="0" fontId="7" fillId="4" borderId="0" xfId="0" applyFont="1" applyFill="1" applyBorder="1" applyAlignment="1">
      <alignment horizontal="center" vertical="center"/>
    </xf>
    <xf numFmtId="3" fontId="7" fillId="4" borderId="0" xfId="0" applyNumberFormat="1" applyFont="1" applyFill="1" applyBorder="1" applyAlignment="1">
      <alignment horizontal="center" vertical="center"/>
    </xf>
    <xf numFmtId="0" fontId="28" fillId="18" borderId="1" xfId="0" applyFont="1" applyFill="1" applyBorder="1" applyAlignment="1">
      <alignment horizontal="center" vertical="center"/>
    </xf>
    <xf numFmtId="166" fontId="0" fillId="0" borderId="0" xfId="0" applyNumberFormat="1" applyAlignment="1">
      <alignment horizontal="center"/>
    </xf>
    <xf numFmtId="166" fontId="0" fillId="0" borderId="0" xfId="0" applyNumberFormat="1" applyAlignment="1">
      <alignment horizontal="center" vertical="center"/>
    </xf>
    <xf numFmtId="166" fontId="7" fillId="4" borderId="0" xfId="0" applyNumberFormat="1" applyFont="1" applyFill="1" applyAlignment="1">
      <alignment horizontal="center" vertical="center"/>
    </xf>
    <xf numFmtId="166" fontId="7" fillId="4" borderId="2" xfId="0" applyNumberFormat="1" applyFont="1" applyFill="1" applyBorder="1" applyAlignment="1">
      <alignment horizontal="center" vertical="center"/>
    </xf>
    <xf numFmtId="3" fontId="7" fillId="4" borderId="4" xfId="0" applyNumberFormat="1" applyFont="1" applyFill="1" applyBorder="1" applyAlignment="1">
      <alignment horizontal="center" vertical="center"/>
    </xf>
    <xf numFmtId="0" fontId="59" fillId="0" borderId="0" xfId="0" applyFont="1" applyBorder="1" applyAlignment="1">
      <alignment horizontal="center" vertical="center"/>
    </xf>
    <xf numFmtId="0" fontId="2" fillId="28" borderId="0" xfId="0" applyFont="1" applyFill="1" applyAlignment="1">
      <alignment horizontal="right"/>
    </xf>
    <xf numFmtId="3" fontId="7" fillId="4" borderId="0" xfId="0" applyNumberFormat="1" applyFont="1" applyFill="1" applyAlignment="1">
      <alignment horizontal="right" vertical="center"/>
    </xf>
    <xf numFmtId="3" fontId="0" fillId="0" borderId="0" xfId="0" applyNumberFormat="1" applyAlignment="1">
      <alignment horizontal="right" vertical="center"/>
    </xf>
    <xf numFmtId="3" fontId="9" fillId="0" borderId="0" xfId="0" applyNumberFormat="1" applyFont="1" applyAlignment="1">
      <alignment horizontal="right" vertical="center"/>
    </xf>
    <xf numFmtId="3" fontId="9" fillId="0" borderId="2" xfId="0" applyNumberFormat="1" applyFont="1" applyBorder="1" applyAlignment="1">
      <alignment horizontal="right" vertical="center"/>
    </xf>
    <xf numFmtId="4" fontId="9" fillId="0" borderId="2" xfId="0" applyNumberFormat="1" applyFont="1" applyBorder="1" applyAlignment="1">
      <alignment horizontal="right"/>
    </xf>
    <xf numFmtId="3" fontId="7" fillId="4" borderId="2" xfId="0" applyNumberFormat="1" applyFont="1" applyFill="1" applyBorder="1" applyAlignment="1">
      <alignment horizontal="right" vertical="center"/>
    </xf>
    <xf numFmtId="3" fontId="7" fillId="4" borderId="3" xfId="0" applyNumberFormat="1" applyFont="1" applyFill="1" applyBorder="1" applyAlignment="1">
      <alignment horizontal="right" vertical="center"/>
    </xf>
    <xf numFmtId="3" fontId="12" fillId="6" borderId="3" xfId="0" applyNumberFormat="1" applyFont="1" applyFill="1" applyBorder="1" applyAlignment="1">
      <alignment horizontal="right" vertical="center"/>
    </xf>
    <xf numFmtId="3" fontId="2" fillId="7" borderId="0" xfId="0" applyNumberFormat="1" applyFont="1" applyFill="1" applyAlignment="1">
      <alignment horizontal="right" vertical="center"/>
    </xf>
    <xf numFmtId="0" fontId="7" fillId="4" borderId="0" xfId="0" applyFont="1" applyFill="1" applyAlignment="1">
      <alignment horizontal="right" vertical="center"/>
    </xf>
    <xf numFmtId="0" fontId="3" fillId="0" borderId="0" xfId="0" applyFont="1" applyAlignment="1">
      <alignment horizontal="right" vertical="center"/>
    </xf>
    <xf numFmtId="0" fontId="3" fillId="0" borderId="0" xfId="0" applyFont="1" applyAlignment="1">
      <alignment horizontal="right"/>
    </xf>
    <xf numFmtId="0" fontId="3" fillId="0" borderId="2" xfId="0" applyFont="1" applyBorder="1" applyAlignment="1">
      <alignment horizontal="right"/>
    </xf>
    <xf numFmtId="0" fontId="3" fillId="0" borderId="2" xfId="0" applyFont="1" applyBorder="1" applyAlignment="1">
      <alignment horizontal="right" vertical="center"/>
    </xf>
    <xf numFmtId="0" fontId="7" fillId="4" borderId="2" xfId="0" applyFont="1" applyFill="1" applyBorder="1" applyAlignment="1">
      <alignment horizontal="right" vertical="center"/>
    </xf>
    <xf numFmtId="0" fontId="7" fillId="4" borderId="3" xfId="0" applyFont="1" applyFill="1" applyBorder="1" applyAlignment="1">
      <alignment horizontal="right" vertical="center"/>
    </xf>
    <xf numFmtId="0" fontId="2" fillId="7" borderId="0" xfId="0" applyFont="1" applyFill="1" applyAlignment="1">
      <alignment horizontal="right" vertical="center"/>
    </xf>
    <xf numFmtId="0" fontId="63" fillId="4" borderId="0" xfId="0" applyFont="1" applyFill="1" applyAlignment="1">
      <alignment horizontal="center" vertical="center"/>
    </xf>
    <xf numFmtId="3" fontId="63" fillId="4" borderId="0" xfId="0" applyNumberFormat="1" applyFont="1" applyFill="1" applyAlignment="1">
      <alignment horizontal="center" vertical="center"/>
    </xf>
    <xf numFmtId="0" fontId="64" fillId="10" borderId="0" xfId="0" applyFont="1" applyFill="1" applyAlignment="1">
      <alignment horizontal="right" vertical="center"/>
    </xf>
    <xf numFmtId="10" fontId="65" fillId="10" borderId="0" xfId="1" applyNumberFormat="1" applyFont="1" applyFill="1" applyAlignment="1">
      <alignment horizontal="center" vertical="center"/>
    </xf>
    <xf numFmtId="3" fontId="63" fillId="10" borderId="0" xfId="0" applyNumberFormat="1" applyFont="1" applyFill="1" applyAlignment="1">
      <alignment horizontal="center" vertical="center"/>
    </xf>
    <xf numFmtId="0" fontId="61" fillId="19" borderId="1" xfId="0" applyFont="1" applyFill="1" applyBorder="1" applyAlignment="1">
      <alignment horizontal="center"/>
    </xf>
    <xf numFmtId="0" fontId="3" fillId="27" borderId="0" xfId="0" applyFont="1" applyFill="1" applyBorder="1" applyAlignment="1">
      <alignment horizontal="center" vertical="center"/>
    </xf>
    <xf numFmtId="0" fontId="3" fillId="27" borderId="4" xfId="0" applyFont="1" applyFill="1" applyBorder="1" applyAlignment="1">
      <alignment horizontal="center" vertical="center"/>
    </xf>
    <xf numFmtId="10" fontId="3" fillId="0" borderId="11" xfId="1" applyNumberFormat="1" applyFont="1" applyBorder="1" applyAlignment="1">
      <alignment horizontal="center" vertical="center"/>
    </xf>
    <xf numFmtId="10" fontId="3" fillId="0" borderId="0" xfId="1" applyNumberFormat="1" applyFont="1" applyBorder="1" applyAlignment="1">
      <alignment horizontal="center" vertical="center"/>
    </xf>
    <xf numFmtId="0" fontId="3" fillId="0" borderId="11" xfId="0" applyFont="1" applyFill="1" applyBorder="1" applyAlignment="1">
      <alignment horizontal="left" vertical="center"/>
    </xf>
    <xf numFmtId="0" fontId="3" fillId="0" borderId="0" xfId="0" applyFont="1" applyFill="1" applyBorder="1" applyAlignment="1">
      <alignment horizontal="left" vertical="center"/>
    </xf>
    <xf numFmtId="0" fontId="0" fillId="15" borderId="0" xfId="0" applyFill="1" applyAlignment="1">
      <alignment horizontal="left" wrapText="1"/>
    </xf>
    <xf numFmtId="0" fontId="0" fillId="5" borderId="0" xfId="0" applyFill="1" applyAlignment="1">
      <alignment horizontal="left" vertical="center" wrapText="1"/>
    </xf>
    <xf numFmtId="0" fontId="0" fillId="15" borderId="0" xfId="0" applyFill="1" applyAlignment="1">
      <alignment horizontal="left" vertical="center" wrapText="1"/>
    </xf>
    <xf numFmtId="0" fontId="0" fillId="5" borderId="0" xfId="0" applyFill="1" applyAlignment="1">
      <alignment horizontal="left" wrapText="1"/>
    </xf>
    <xf numFmtId="0" fontId="3" fillId="0" borderId="0" xfId="0" applyFont="1" applyAlignment="1">
      <alignment horizontal="center" vertical="center"/>
    </xf>
    <xf numFmtId="0" fontId="7" fillId="4" borderId="10" xfId="0" applyFont="1" applyFill="1" applyBorder="1" applyAlignment="1">
      <alignment horizontal="center" vertical="center"/>
    </xf>
    <xf numFmtId="0" fontId="7" fillId="4" borderId="0" xfId="0" applyFont="1" applyFill="1" applyAlignment="1">
      <alignment horizontal="center" vertical="center"/>
    </xf>
    <xf numFmtId="9" fontId="0" fillId="0" borderId="0" xfId="1" applyFont="1" applyAlignment="1">
      <alignment horizontal="center"/>
    </xf>
  </cellXfs>
  <cellStyles count="3">
    <cellStyle name="Normal" xfId="0" builtinId="0"/>
    <cellStyle name="Normal 2 2" xfId="2" xr:uid="{D0E4A46D-E22E-40C0-B7A1-5313350C46AB}"/>
    <cellStyle name="Percentatge" xfId="1" builtinId="5"/>
  </cellStyles>
  <dxfs count="0"/>
  <tableStyles count="0" defaultTableStyle="TableStyleMedium2" defaultPivotStyle="PivotStyleLight16"/>
  <colors>
    <mruColors>
      <color rgb="FF0099CC"/>
      <color rgb="FFFFCC66"/>
      <color rgb="FFE0D9C6"/>
      <color rgb="FF00CC99"/>
      <color rgb="FF008080"/>
      <color rgb="FF33CCCC"/>
      <color rgb="FFCC66FF"/>
      <color rgb="FFFFE5FD"/>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ca-ES" b="1">
                <a:solidFill>
                  <a:sysClr val="windowText" lastClr="000000"/>
                </a:solidFill>
              </a:rPr>
              <a:t>Producció bruta d'energia elèctrica per tecnologia (2025)</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ca-ES"/>
        </a:p>
      </c:txPr>
    </c:title>
    <c:autoTitleDeleted val="0"/>
    <c:plotArea>
      <c:layout>
        <c:manualLayout>
          <c:layoutTarget val="inner"/>
          <c:xMode val="edge"/>
          <c:yMode val="edge"/>
          <c:x val="7.7684225115424929E-2"/>
          <c:y val="0.28141004601127478"/>
          <c:w val="0.38030681808338312"/>
          <c:h val="0.69480221671984588"/>
        </c:manualLayout>
      </c:layout>
      <c:doughnutChart>
        <c:varyColors val="1"/>
        <c:ser>
          <c:idx val="0"/>
          <c:order val="0"/>
          <c:dPt>
            <c:idx val="0"/>
            <c:bubble3D val="0"/>
            <c:spPr>
              <a:solidFill>
                <a:schemeClr val="accent1">
                  <a:lumMod val="75000"/>
                </a:schemeClr>
              </a:solidFill>
              <a:ln w="19050">
                <a:solidFill>
                  <a:schemeClr val="lt1"/>
                </a:solidFill>
              </a:ln>
              <a:effectLst/>
            </c:spPr>
            <c:extLst>
              <c:ext xmlns:c16="http://schemas.microsoft.com/office/drawing/2014/chart" uri="{C3380CC4-5D6E-409C-BE32-E72D297353CC}">
                <c16:uniqueId val="{00000006-98EA-45EC-B2BA-44395AB917C2}"/>
              </c:ext>
            </c:extLst>
          </c:dPt>
          <c:dPt>
            <c:idx val="1"/>
            <c:bubble3D val="0"/>
            <c:spPr>
              <a:solidFill>
                <a:srgbClr val="0099CC"/>
              </a:solidFill>
              <a:ln w="19050">
                <a:solidFill>
                  <a:schemeClr val="lt1"/>
                </a:solidFill>
              </a:ln>
              <a:effectLst/>
            </c:spPr>
            <c:extLst>
              <c:ext xmlns:c16="http://schemas.microsoft.com/office/drawing/2014/chart" uri="{C3380CC4-5D6E-409C-BE32-E72D297353CC}">
                <c16:uniqueId val="{00000008-98EA-45EC-B2BA-44395AB917C2}"/>
              </c:ext>
            </c:extLst>
          </c:dPt>
          <c:dPt>
            <c:idx val="2"/>
            <c:bubble3D val="0"/>
            <c:spPr>
              <a:solidFill>
                <a:srgbClr val="33CCCC"/>
              </a:solidFill>
              <a:ln w="19050">
                <a:solidFill>
                  <a:schemeClr val="lt1"/>
                </a:solidFill>
              </a:ln>
              <a:effectLst/>
            </c:spPr>
            <c:extLst>
              <c:ext xmlns:c16="http://schemas.microsoft.com/office/drawing/2014/chart" uri="{C3380CC4-5D6E-409C-BE32-E72D297353CC}">
                <c16:uniqueId val="{00000007-98EA-45EC-B2BA-44395AB917C2}"/>
              </c:ext>
            </c:extLst>
          </c:dPt>
          <c:dPt>
            <c:idx val="3"/>
            <c:bubble3D val="0"/>
            <c:spPr>
              <a:solidFill>
                <a:srgbClr val="008080"/>
              </a:solidFill>
              <a:ln w="19050">
                <a:solidFill>
                  <a:schemeClr val="lt1"/>
                </a:solidFill>
              </a:ln>
              <a:effectLst/>
            </c:spPr>
            <c:extLst>
              <c:ext xmlns:c16="http://schemas.microsoft.com/office/drawing/2014/chart" uri="{C3380CC4-5D6E-409C-BE32-E72D297353CC}">
                <c16:uniqueId val="{00000009-98EA-45EC-B2BA-44395AB917C2}"/>
              </c:ext>
            </c:extLst>
          </c:dPt>
          <c:dPt>
            <c:idx val="4"/>
            <c:bubble3D val="0"/>
            <c:spPr>
              <a:solidFill>
                <a:schemeClr val="bg2">
                  <a:lumMod val="50000"/>
                </a:schemeClr>
              </a:solidFill>
              <a:ln w="19050">
                <a:solidFill>
                  <a:schemeClr val="lt1"/>
                </a:solidFill>
              </a:ln>
              <a:effectLst/>
            </c:spPr>
            <c:extLst>
              <c:ext xmlns:c16="http://schemas.microsoft.com/office/drawing/2014/chart" uri="{C3380CC4-5D6E-409C-BE32-E72D297353CC}">
                <c16:uniqueId val="{0000000A-98EA-45EC-B2BA-44395AB917C2}"/>
              </c:ext>
            </c:extLst>
          </c:dPt>
          <c:dLbls>
            <c:dLbl>
              <c:idx val="3"/>
              <c:layout>
                <c:manualLayout>
                  <c:x val="-5.9405940594059403E-2"/>
                  <c:y val="-0.13666965981028933"/>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ca-ES"/>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98EA-45EC-B2BA-44395AB917C2}"/>
                </c:ext>
              </c:extLst>
            </c:dLbl>
            <c:dLbl>
              <c:idx val="4"/>
              <c:layout>
                <c:manualLayout>
                  <c:x val="0.14301430143014301"/>
                  <c:y val="-0.11657118042642327"/>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ca-ES"/>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A-98EA-45EC-B2BA-44395AB917C2}"/>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ca-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(Gràfics!$A$6:$A$8,Gràfics!$A$10:$A$11)</c:f>
              <c:strCache>
                <c:ptCount val="5"/>
                <c:pt idx="0">
                  <c:v>Hidroelèctrica</c:v>
                </c:pt>
                <c:pt idx="1">
                  <c:v>Solar Fotovoltaica</c:v>
                </c:pt>
                <c:pt idx="2">
                  <c:v>Valorització de residus (renovable)</c:v>
                </c:pt>
                <c:pt idx="3">
                  <c:v>Cogeneració Soldeu (GNL)</c:v>
                </c:pt>
                <c:pt idx="4">
                  <c:v>Valorització de residus (no renovable)</c:v>
                </c:pt>
              </c:strCache>
            </c:strRef>
          </c:cat>
          <c:val>
            <c:numRef>
              <c:f>(Gràfics!$G$6:$G$8,Gràfics!$G$10:$G$11)</c:f>
              <c:numCache>
                <c:formatCode>#,##0.0</c:formatCode>
                <c:ptCount val="5"/>
                <c:pt idx="0">
                  <c:v>88.70830551020407</c:v>
                </c:pt>
                <c:pt idx="1">
                  <c:v>23.092405579000001</c:v>
                </c:pt>
                <c:pt idx="2">
                  <c:v>18.152024822820081</c:v>
                </c:pt>
                <c:pt idx="3">
                  <c:v>5.3608366171567141</c:v>
                </c:pt>
                <c:pt idx="4">
                  <c:v>3.4036393771800175</c:v>
                </c:pt>
              </c:numCache>
            </c:numRef>
          </c:val>
          <c:extLst>
            <c:ext xmlns:c16="http://schemas.microsoft.com/office/drawing/2014/chart" uri="{C3380CC4-5D6E-409C-BE32-E72D297353CC}">
              <c16:uniqueId val="{00000000-98EA-45EC-B2BA-44395AB917C2}"/>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0.59948164895229672"/>
          <c:y val="0.25691807068524419"/>
          <c:w val="0.33253102278991875"/>
          <c:h val="0.70401369674727587"/>
        </c:manualLayout>
      </c:layout>
      <c:overlay val="0"/>
      <c:spPr>
        <a:noFill/>
        <a:ln>
          <a:noFill/>
        </a:ln>
        <a:effectLst/>
      </c:spPr>
      <c:txPr>
        <a:bodyPr rot="0" spcFirstLastPara="1" vertOverflow="ellipsis" vert="horz" wrap="square" anchor="ctr" anchorCtr="1"/>
        <a:lstStyle/>
        <a:p>
          <a:pPr rtl="0">
            <a:defRPr sz="1200" b="1" i="0" u="none" strike="noStrike" kern="1200" baseline="0">
              <a:solidFill>
                <a:schemeClr val="tx1">
                  <a:lumMod val="65000"/>
                  <a:lumOff val="35000"/>
                </a:schemeClr>
              </a:solidFill>
              <a:latin typeface="+mn-lt"/>
              <a:ea typeface="+mn-ea"/>
              <a:cs typeface="+mn-cs"/>
            </a:defRPr>
          </a:pPr>
          <a:endParaRPr lang="ca-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ca-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ca-ES" b="1">
                <a:solidFill>
                  <a:sysClr val="windowText" lastClr="000000"/>
                </a:solidFill>
              </a:rPr>
              <a:t>Evolució</a:t>
            </a:r>
            <a:r>
              <a:rPr lang="ca-ES" b="1" baseline="0">
                <a:solidFill>
                  <a:sysClr val="windowText" lastClr="000000"/>
                </a:solidFill>
              </a:rPr>
              <a:t> de la producció bruta per tecnologia </a:t>
            </a:r>
            <a:endParaRPr lang="ca-ES" b="1">
              <a:solidFill>
                <a:sysClr val="windowText" lastClr="000000"/>
              </a:solidFill>
            </a:endParaRPr>
          </a:p>
        </c:rich>
      </c:tx>
      <c:layout>
        <c:manualLayout>
          <c:xMode val="edge"/>
          <c:yMode val="edge"/>
          <c:x val="0.26754868030876666"/>
          <c:y val="2.770070589490763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ca-ES"/>
        </a:p>
      </c:txPr>
    </c:title>
    <c:autoTitleDeleted val="0"/>
    <c:plotArea>
      <c:layout/>
      <c:barChart>
        <c:barDir val="col"/>
        <c:grouping val="stacked"/>
        <c:varyColors val="0"/>
        <c:ser>
          <c:idx val="0"/>
          <c:order val="0"/>
          <c:tx>
            <c:strRef>
              <c:f>Gràfics!$A$73</c:f>
              <c:strCache>
                <c:ptCount val="1"/>
                <c:pt idx="0">
                  <c:v>Hidroelèctrica</c:v>
                </c:pt>
              </c:strCache>
            </c:strRef>
          </c:tx>
          <c:spPr>
            <a:solidFill>
              <a:schemeClr val="accent1">
                <a:lumMod val="75000"/>
              </a:schemeClr>
            </a:solidFill>
            <a:ln>
              <a:noFill/>
            </a:ln>
            <a:effectLst/>
          </c:spPr>
          <c:invertIfNegative val="0"/>
          <c:dLbls>
            <c:spPr>
              <a:solidFill>
                <a:schemeClr val="bg1">
                  <a:alpha val="32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Gràfics!$B$4:$F$4</c:f>
              <c:numCache>
                <c:formatCode>General</c:formatCode>
                <c:ptCount val="5"/>
                <c:pt idx="0">
                  <c:v>2021</c:v>
                </c:pt>
                <c:pt idx="1">
                  <c:v>2022</c:v>
                </c:pt>
                <c:pt idx="2">
                  <c:v>2023</c:v>
                </c:pt>
                <c:pt idx="3">
                  <c:v>2024</c:v>
                </c:pt>
                <c:pt idx="4">
                  <c:v>2025</c:v>
                </c:pt>
              </c:numCache>
            </c:numRef>
          </c:cat>
          <c:val>
            <c:numRef>
              <c:f>Gràfics!$B$73:$F$73</c:f>
              <c:numCache>
                <c:formatCode>#,##0.0</c:formatCode>
                <c:ptCount val="5"/>
                <c:pt idx="0">
                  <c:v>80.28660775510204</c:v>
                </c:pt>
                <c:pt idx="1">
                  <c:v>69.613704081632662</c:v>
                </c:pt>
                <c:pt idx="2">
                  <c:v>71.8899975510204</c:v>
                </c:pt>
                <c:pt idx="3">
                  <c:v>92.35931479591838</c:v>
                </c:pt>
                <c:pt idx="4">
                  <c:v>88.70830551020407</c:v>
                </c:pt>
              </c:numCache>
            </c:numRef>
          </c:val>
          <c:extLst>
            <c:ext xmlns:c16="http://schemas.microsoft.com/office/drawing/2014/chart" uri="{C3380CC4-5D6E-409C-BE32-E72D297353CC}">
              <c16:uniqueId val="{00000000-DD1B-4C10-B8A3-CA9213D2E663}"/>
            </c:ext>
          </c:extLst>
        </c:ser>
        <c:ser>
          <c:idx val="1"/>
          <c:order val="1"/>
          <c:tx>
            <c:strRef>
              <c:f>Gràfics!$A$74</c:f>
              <c:strCache>
                <c:ptCount val="1"/>
                <c:pt idx="0">
                  <c:v>Solar Fotovoltaica</c:v>
                </c:pt>
              </c:strCache>
            </c:strRef>
          </c:tx>
          <c:spPr>
            <a:solidFill>
              <a:srgbClr val="0099CC"/>
            </a:solidFill>
            <a:ln>
              <a:noFill/>
            </a:ln>
            <a:effectLst/>
          </c:spPr>
          <c:invertIfNegative val="0"/>
          <c:dLbls>
            <c:spPr>
              <a:solidFill>
                <a:schemeClr val="bg1">
                  <a:alpha val="32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Gràfics!$B$4:$F$4</c:f>
              <c:numCache>
                <c:formatCode>General</c:formatCode>
                <c:ptCount val="5"/>
                <c:pt idx="0">
                  <c:v>2021</c:v>
                </c:pt>
                <c:pt idx="1">
                  <c:v>2022</c:v>
                </c:pt>
                <c:pt idx="2">
                  <c:v>2023</c:v>
                </c:pt>
                <c:pt idx="3">
                  <c:v>2024</c:v>
                </c:pt>
                <c:pt idx="4">
                  <c:v>2025</c:v>
                </c:pt>
              </c:numCache>
            </c:numRef>
          </c:cat>
          <c:val>
            <c:numRef>
              <c:f>Gràfics!$B$74:$F$74</c:f>
              <c:numCache>
                <c:formatCode>#,##0.0</c:formatCode>
                <c:ptCount val="5"/>
                <c:pt idx="0">
                  <c:v>1.8655383670000001</c:v>
                </c:pt>
                <c:pt idx="1">
                  <c:v>6.3079840000000003</c:v>
                </c:pt>
                <c:pt idx="2">
                  <c:v>12.215536999999999</c:v>
                </c:pt>
                <c:pt idx="3">
                  <c:v>17.414020651999998</c:v>
                </c:pt>
                <c:pt idx="4">
                  <c:v>23.092405579000001</c:v>
                </c:pt>
              </c:numCache>
            </c:numRef>
          </c:val>
          <c:extLst>
            <c:ext xmlns:c16="http://schemas.microsoft.com/office/drawing/2014/chart" uri="{C3380CC4-5D6E-409C-BE32-E72D297353CC}">
              <c16:uniqueId val="{00000001-DD1B-4C10-B8A3-CA9213D2E663}"/>
            </c:ext>
          </c:extLst>
        </c:ser>
        <c:ser>
          <c:idx val="2"/>
          <c:order val="2"/>
          <c:tx>
            <c:strRef>
              <c:f>Gràfics!$A$75</c:f>
              <c:strCache>
                <c:ptCount val="1"/>
                <c:pt idx="0">
                  <c:v>Valorització de residus (renovable)</c:v>
                </c:pt>
              </c:strCache>
            </c:strRef>
          </c:tx>
          <c:spPr>
            <a:solidFill>
              <a:srgbClr val="33CCCC"/>
            </a:solidFill>
            <a:ln>
              <a:noFill/>
            </a:ln>
            <a:effectLst/>
          </c:spPr>
          <c:invertIfNegative val="0"/>
          <c:dLbls>
            <c:spPr>
              <a:solidFill>
                <a:schemeClr val="bg1">
                  <a:alpha val="32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Gràfics!$B$4:$F$4</c:f>
              <c:numCache>
                <c:formatCode>General</c:formatCode>
                <c:ptCount val="5"/>
                <c:pt idx="0">
                  <c:v>2021</c:v>
                </c:pt>
                <c:pt idx="1">
                  <c:v>2022</c:v>
                </c:pt>
                <c:pt idx="2">
                  <c:v>2023</c:v>
                </c:pt>
                <c:pt idx="3">
                  <c:v>2024</c:v>
                </c:pt>
                <c:pt idx="4">
                  <c:v>2025</c:v>
                </c:pt>
              </c:numCache>
            </c:numRef>
          </c:cat>
          <c:val>
            <c:numRef>
              <c:f>Gràfics!$B$75:$F$75</c:f>
              <c:numCache>
                <c:formatCode>#,##0.0</c:formatCode>
                <c:ptCount val="5"/>
                <c:pt idx="0">
                  <c:v>18.466924850480083</c:v>
                </c:pt>
                <c:pt idx="1">
                  <c:v>20.07397442782004</c:v>
                </c:pt>
                <c:pt idx="2">
                  <c:v>17.976195758019969</c:v>
                </c:pt>
                <c:pt idx="3">
                  <c:v>17.438134016839978</c:v>
                </c:pt>
                <c:pt idx="4">
                  <c:v>18.152024822820081</c:v>
                </c:pt>
              </c:numCache>
            </c:numRef>
          </c:val>
          <c:extLst>
            <c:ext xmlns:c16="http://schemas.microsoft.com/office/drawing/2014/chart" uri="{C3380CC4-5D6E-409C-BE32-E72D297353CC}">
              <c16:uniqueId val="{00000002-DD1B-4C10-B8A3-CA9213D2E663}"/>
            </c:ext>
          </c:extLst>
        </c:ser>
        <c:ser>
          <c:idx val="3"/>
          <c:order val="3"/>
          <c:tx>
            <c:strRef>
              <c:f>Gràfics!$A$77</c:f>
              <c:strCache>
                <c:ptCount val="1"/>
                <c:pt idx="0">
                  <c:v>Cogeneració Soldeu (GNL)</c:v>
                </c:pt>
              </c:strCache>
            </c:strRef>
          </c:tx>
          <c:spPr>
            <a:solidFill>
              <a:srgbClr val="008080"/>
            </a:solidFill>
            <a:ln>
              <a:noFill/>
            </a:ln>
            <a:effectLst/>
          </c:spPr>
          <c:invertIfNegative val="0"/>
          <c:dLbls>
            <c:spPr>
              <a:solidFill>
                <a:schemeClr val="bg1">
                  <a:alpha val="32000"/>
                </a:schemeClr>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Gràfics!$B$4:$F$4</c:f>
              <c:numCache>
                <c:formatCode>General</c:formatCode>
                <c:ptCount val="5"/>
                <c:pt idx="0">
                  <c:v>2021</c:v>
                </c:pt>
                <c:pt idx="1">
                  <c:v>2022</c:v>
                </c:pt>
                <c:pt idx="2">
                  <c:v>2023</c:v>
                </c:pt>
                <c:pt idx="3">
                  <c:v>2024</c:v>
                </c:pt>
                <c:pt idx="4">
                  <c:v>2025</c:v>
                </c:pt>
              </c:numCache>
            </c:numRef>
          </c:cat>
          <c:val>
            <c:numRef>
              <c:f>Gràfics!$B$77:$F$77</c:f>
              <c:numCache>
                <c:formatCode>#,##0.0</c:formatCode>
                <c:ptCount val="5"/>
                <c:pt idx="0">
                  <c:v>7.0654541780337476</c:v>
                </c:pt>
                <c:pt idx="1">
                  <c:v>5.5883601091239772</c:v>
                </c:pt>
                <c:pt idx="2">
                  <c:v>8.688936041224613</c:v>
                </c:pt>
                <c:pt idx="3">
                  <c:v>7.8044558957259778</c:v>
                </c:pt>
                <c:pt idx="4">
                  <c:v>5.3608366171567141</c:v>
                </c:pt>
              </c:numCache>
            </c:numRef>
          </c:val>
          <c:extLst>
            <c:ext xmlns:c16="http://schemas.microsoft.com/office/drawing/2014/chart" uri="{C3380CC4-5D6E-409C-BE32-E72D297353CC}">
              <c16:uniqueId val="{00000003-DD1B-4C10-B8A3-CA9213D2E663}"/>
            </c:ext>
          </c:extLst>
        </c:ser>
        <c:ser>
          <c:idx val="4"/>
          <c:order val="4"/>
          <c:tx>
            <c:strRef>
              <c:f>Gràfics!$A$78</c:f>
              <c:strCache>
                <c:ptCount val="1"/>
                <c:pt idx="0">
                  <c:v>Valorització de residus (no renovable)</c:v>
                </c:pt>
              </c:strCache>
            </c:strRef>
          </c:tx>
          <c:spPr>
            <a:solidFill>
              <a:schemeClr val="bg2">
                <a:lumMod val="50000"/>
              </a:schemeClr>
            </a:solidFill>
            <a:ln>
              <a:noFill/>
            </a:ln>
            <a:effectLst/>
          </c:spPr>
          <c:invertIfNegative val="0"/>
          <c:dLbls>
            <c:dLbl>
              <c:idx val="0"/>
              <c:layout>
                <c:manualLayout>
                  <c:x val="-1.8421295017039699E-3"/>
                  <c:y val="-2.27808819968250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DD1B-4C10-B8A3-CA9213D2E663}"/>
                </c:ext>
              </c:extLst>
            </c:dLbl>
            <c:dLbl>
              <c:idx val="1"/>
              <c:layout>
                <c:manualLayout>
                  <c:x val="0"/>
                  <c:y val="-2.9289705424489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DD1B-4C10-B8A3-CA9213D2E663}"/>
                </c:ext>
              </c:extLst>
            </c:dLbl>
            <c:dLbl>
              <c:idx val="2"/>
              <c:layout>
                <c:manualLayout>
                  <c:x val="1.8421295017039699E-3"/>
                  <c:y val="-2.27808819968249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DD1B-4C10-B8A3-CA9213D2E663}"/>
                </c:ext>
              </c:extLst>
            </c:dLbl>
            <c:dLbl>
              <c:idx val="3"/>
              <c:layout>
                <c:manualLayout>
                  <c:x val="-1.8421295017039699E-3"/>
                  <c:y val="-2.60352937106571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DD1B-4C10-B8A3-CA9213D2E663}"/>
                </c:ext>
              </c:extLst>
            </c:dLbl>
            <c:dLbl>
              <c:idx val="4"/>
              <c:layout>
                <c:manualLayout>
                  <c:x val="0"/>
                  <c:y val="-2.92897054244893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DD1B-4C10-B8A3-CA9213D2E663}"/>
                </c:ext>
              </c:extLst>
            </c:dLbl>
            <c:numFmt formatCode="#,##0.0" sourceLinked="0"/>
            <c:spPr>
              <a:noFill/>
              <a:ln>
                <a:noFill/>
              </a:ln>
              <a:effectLst/>
            </c:spPr>
            <c:txPr>
              <a:bodyPr rot="0" spcFirstLastPara="1" vertOverflow="ellipsis" vert="horz" wrap="square" lIns="38100" tIns="19050" rIns="38100" bIns="19050" anchor="t" anchorCtr="0">
                <a:spAutoFit/>
              </a:bodyPr>
              <a:lstStyle/>
              <a:p>
                <a:pPr>
                  <a:defRPr sz="900" b="1" i="0" u="none" strike="noStrike" kern="1200" baseline="0">
                    <a:solidFill>
                      <a:schemeClr val="tx1">
                        <a:lumMod val="75000"/>
                        <a:lumOff val="25000"/>
                      </a:schemeClr>
                    </a:solidFill>
                    <a:latin typeface="+mn-lt"/>
                    <a:ea typeface="+mn-ea"/>
                    <a:cs typeface="+mn-cs"/>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Gràfics!$B$4:$F$4</c:f>
              <c:numCache>
                <c:formatCode>General</c:formatCode>
                <c:ptCount val="5"/>
                <c:pt idx="0">
                  <c:v>2021</c:v>
                </c:pt>
                <c:pt idx="1">
                  <c:v>2022</c:v>
                </c:pt>
                <c:pt idx="2">
                  <c:v>2023</c:v>
                </c:pt>
                <c:pt idx="3">
                  <c:v>2024</c:v>
                </c:pt>
                <c:pt idx="4">
                  <c:v>2025</c:v>
                </c:pt>
              </c:numCache>
            </c:numRef>
          </c:cat>
          <c:val>
            <c:numRef>
              <c:f>Gràfics!$B$78:$F$78</c:f>
              <c:numCache>
                <c:formatCode>#,##0.0</c:formatCode>
                <c:ptCount val="5"/>
                <c:pt idx="0">
                  <c:v>3.2129587495200149</c:v>
                </c:pt>
                <c:pt idx="1">
                  <c:v>3.492560472180009</c:v>
                </c:pt>
                <c:pt idx="2">
                  <c:v>3.2446704419799932</c:v>
                </c:pt>
                <c:pt idx="3">
                  <c:v>3.2501255831599942</c:v>
                </c:pt>
                <c:pt idx="4">
                  <c:v>3.4036393771800175</c:v>
                </c:pt>
              </c:numCache>
            </c:numRef>
          </c:val>
          <c:extLst>
            <c:ext xmlns:c16="http://schemas.microsoft.com/office/drawing/2014/chart" uri="{C3380CC4-5D6E-409C-BE32-E72D297353CC}">
              <c16:uniqueId val="{00000004-DD1B-4C10-B8A3-CA9213D2E663}"/>
            </c:ext>
          </c:extLst>
        </c:ser>
        <c:dLbls>
          <c:showLegendKey val="0"/>
          <c:showVal val="0"/>
          <c:showCatName val="0"/>
          <c:showSerName val="0"/>
          <c:showPercent val="0"/>
          <c:showBubbleSize val="0"/>
        </c:dLbls>
        <c:gapWidth val="150"/>
        <c:overlap val="100"/>
        <c:axId val="723998479"/>
        <c:axId val="723991407"/>
      </c:barChart>
      <c:catAx>
        <c:axId val="723998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1" i="0" u="none" strike="noStrike" kern="1200" baseline="0">
                <a:solidFill>
                  <a:sysClr val="windowText" lastClr="000000"/>
                </a:solidFill>
                <a:latin typeface="+mn-lt"/>
                <a:ea typeface="+mn-ea"/>
                <a:cs typeface="+mn-cs"/>
              </a:defRPr>
            </a:pPr>
            <a:endParaRPr lang="ca-ES"/>
          </a:p>
        </c:txPr>
        <c:crossAx val="723991407"/>
        <c:crosses val="autoZero"/>
        <c:auto val="1"/>
        <c:lblAlgn val="ctr"/>
        <c:lblOffset val="100"/>
        <c:noMultiLvlLbl val="0"/>
      </c:catAx>
      <c:valAx>
        <c:axId val="7239914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ca-ES" sz="1100" b="1">
                    <a:solidFill>
                      <a:sysClr val="windowText" lastClr="000000"/>
                    </a:solidFill>
                  </a:rPr>
                  <a:t>GWh</a:t>
                </a:r>
              </a:p>
            </c:rich>
          </c:tx>
          <c:layout>
            <c:manualLayout>
              <c:xMode val="edge"/>
              <c:yMode val="edge"/>
              <c:x val="9.5648015303682454E-3"/>
              <c:y val="0.3880455600743008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ca-E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ysClr val="windowText" lastClr="000000"/>
                </a:solidFill>
                <a:latin typeface="+mn-lt"/>
                <a:ea typeface="+mn-ea"/>
                <a:cs typeface="+mn-cs"/>
              </a:defRPr>
            </a:pPr>
            <a:endParaRPr lang="ca-ES"/>
          </a:p>
        </c:txPr>
        <c:crossAx val="723998479"/>
        <c:crosses val="autoZero"/>
        <c:crossBetween val="between"/>
      </c:valAx>
      <c:spPr>
        <a:noFill/>
        <a:ln>
          <a:noFill/>
        </a:ln>
        <a:effectLst/>
      </c:spPr>
    </c:plotArea>
    <c:legend>
      <c:legendPos val="b"/>
      <c:layout>
        <c:manualLayout>
          <c:xMode val="edge"/>
          <c:yMode val="edge"/>
          <c:x val="3.2441679055852282E-2"/>
          <c:y val="0.83017485099232269"/>
          <c:w val="0.96590249227696112"/>
          <c:h val="0.11688055678270831"/>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75000"/>
                  <a:lumOff val="25000"/>
                </a:schemeClr>
              </a:solidFill>
              <a:latin typeface="+mn-lt"/>
              <a:ea typeface="+mn-ea"/>
              <a:cs typeface="+mn-cs"/>
            </a:defRPr>
          </a:pPr>
          <a:endParaRPr lang="ca-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ca-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ca-ES" b="1">
                <a:solidFill>
                  <a:sysClr val="windowText" lastClr="000000"/>
                </a:solidFill>
              </a:rPr>
              <a:t>Demanda elèctrica nacional en b.c.</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ca-ES"/>
        </a:p>
      </c:txPr>
    </c:title>
    <c:autoTitleDeleted val="0"/>
    <c:plotArea>
      <c:layout>
        <c:manualLayout>
          <c:layoutTarget val="inner"/>
          <c:xMode val="edge"/>
          <c:yMode val="edge"/>
          <c:x val="5.1046310922985901E-2"/>
          <c:y val="0.17938694873364061"/>
          <c:w val="0.50873582707661158"/>
          <c:h val="0.7765626377118513"/>
        </c:manualLayout>
      </c:layout>
      <c:doughnutChart>
        <c:varyColors val="1"/>
        <c:ser>
          <c:idx val="0"/>
          <c:order val="0"/>
          <c:dPt>
            <c:idx val="0"/>
            <c:bubble3D val="0"/>
            <c:spPr>
              <a:solidFill>
                <a:srgbClr val="E0D9C6"/>
              </a:solidFill>
              <a:ln w="19050">
                <a:solidFill>
                  <a:schemeClr val="lt1"/>
                </a:solidFill>
              </a:ln>
              <a:effectLst/>
            </c:spPr>
            <c:extLst>
              <c:ext xmlns:c16="http://schemas.microsoft.com/office/drawing/2014/chart" uri="{C3380CC4-5D6E-409C-BE32-E72D297353CC}">
                <c16:uniqueId val="{00000007-55DD-403E-A0FA-5FCC10380904}"/>
              </c:ext>
            </c:extLst>
          </c:dPt>
          <c:dPt>
            <c:idx val="1"/>
            <c:bubble3D val="0"/>
            <c:spPr>
              <a:solidFill>
                <a:srgbClr val="00CC99"/>
              </a:solidFill>
              <a:ln w="19050">
                <a:solidFill>
                  <a:schemeClr val="lt1"/>
                </a:solidFill>
              </a:ln>
              <a:effectLst/>
            </c:spPr>
            <c:extLst>
              <c:ext xmlns:c16="http://schemas.microsoft.com/office/drawing/2014/chart" uri="{C3380CC4-5D6E-409C-BE32-E72D297353CC}">
                <c16:uniqueId val="{00000006-55DD-403E-A0FA-5FCC10380904}"/>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ca-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Gràfics!$A$16:$A$17</c:f>
              <c:strCache>
                <c:ptCount val="2"/>
                <c:pt idx="0">
                  <c:v>Producció neta d'energia elèctrica</c:v>
                </c:pt>
                <c:pt idx="1">
                  <c:v>Saldo d'importació - exportació</c:v>
                </c:pt>
              </c:strCache>
            </c:strRef>
          </c:cat>
          <c:val>
            <c:numRef>
              <c:f>Gràfics!$G$16:$G$17</c:f>
              <c:numCache>
                <c:formatCode>General</c:formatCode>
                <c:ptCount val="2"/>
                <c:pt idx="0">
                  <c:v>125.6975192279999</c:v>
                </c:pt>
                <c:pt idx="1">
                  <c:v>450.41784000000001</c:v>
                </c:pt>
              </c:numCache>
            </c:numRef>
          </c:val>
          <c:extLst>
            <c:ext xmlns:c16="http://schemas.microsoft.com/office/drawing/2014/chart" uri="{C3380CC4-5D6E-409C-BE32-E72D297353CC}">
              <c16:uniqueId val="{00000003-55DD-403E-A0FA-5FCC10380904}"/>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b"/>
      <c:layout>
        <c:manualLayout>
          <c:xMode val="edge"/>
          <c:yMode val="edge"/>
          <c:x val="0.59698782810940265"/>
          <c:y val="0.33237201409672812"/>
          <c:w val="0.39253899700664513"/>
          <c:h val="0.32232641944842022"/>
        </c:manualLayout>
      </c:layout>
      <c:overlay val="0"/>
      <c:spPr>
        <a:noFill/>
        <a:ln>
          <a:noFill/>
        </a:ln>
        <a:effectLst/>
      </c:spPr>
      <c:txPr>
        <a:bodyPr rot="0" spcFirstLastPara="1" vertOverflow="ellipsis" vert="horz" wrap="square" anchor="ctr" anchorCtr="1"/>
        <a:lstStyle/>
        <a:p>
          <a:pPr rtl="0">
            <a:defRPr sz="1100" b="1" i="0" u="none" strike="noStrike" kern="1200" baseline="0">
              <a:solidFill>
                <a:schemeClr val="tx1">
                  <a:lumMod val="75000"/>
                  <a:lumOff val="25000"/>
                </a:schemeClr>
              </a:solidFill>
              <a:latin typeface="+mn-lt"/>
              <a:ea typeface="+mn-ea"/>
              <a:cs typeface="+mn-cs"/>
            </a:defRPr>
          </a:pPr>
          <a:endParaRPr lang="ca-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ca-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a-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ca-ES" b="1">
                <a:solidFill>
                  <a:schemeClr val="tx1">
                    <a:lumMod val="75000"/>
                    <a:lumOff val="25000"/>
                  </a:schemeClr>
                </a:solidFill>
              </a:rPr>
              <a:t>Producció bruta d'energia elèctrica</a:t>
            </a:r>
            <a:r>
              <a:rPr lang="ca-ES" b="1" baseline="0">
                <a:solidFill>
                  <a:schemeClr val="tx1">
                    <a:lumMod val="75000"/>
                    <a:lumOff val="25000"/>
                  </a:schemeClr>
                </a:solidFill>
              </a:rPr>
              <a:t> </a:t>
            </a:r>
            <a:endParaRPr lang="ca-ES" b="1">
              <a:solidFill>
                <a:schemeClr val="tx1">
                  <a:lumMod val="75000"/>
                  <a:lumOff val="25000"/>
                </a:schemeClr>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ca-ES"/>
        </a:p>
      </c:txPr>
    </c:title>
    <c:autoTitleDeleted val="0"/>
    <c:plotArea>
      <c:layout/>
      <c:doughnutChart>
        <c:varyColors val="1"/>
        <c:ser>
          <c:idx val="0"/>
          <c:order val="0"/>
          <c:explosion val="3"/>
          <c:dPt>
            <c:idx val="0"/>
            <c:bubble3D val="0"/>
            <c:spPr>
              <a:solidFill>
                <a:srgbClr val="FFCC66"/>
              </a:solidFill>
              <a:ln w="19050">
                <a:solidFill>
                  <a:schemeClr val="lt1"/>
                </a:solidFill>
              </a:ln>
              <a:effectLst/>
            </c:spPr>
            <c:extLst>
              <c:ext xmlns:c16="http://schemas.microsoft.com/office/drawing/2014/chart" uri="{C3380CC4-5D6E-409C-BE32-E72D297353CC}">
                <c16:uniqueId val="{00000002-0FA6-486D-ABD9-C4420B38D16E}"/>
              </c:ext>
            </c:extLst>
          </c:dPt>
          <c:dPt>
            <c:idx val="1"/>
            <c:bubble3D val="0"/>
            <c:explosion val="0"/>
            <c:spPr>
              <a:solidFill>
                <a:schemeClr val="accent2"/>
              </a:solidFill>
              <a:ln w="19050">
                <a:solidFill>
                  <a:schemeClr val="lt1"/>
                </a:solidFill>
              </a:ln>
              <a:effectLst/>
            </c:spPr>
            <c:extLst>
              <c:ext xmlns:c16="http://schemas.microsoft.com/office/drawing/2014/chart" uri="{C3380CC4-5D6E-409C-BE32-E72D297353CC}">
                <c16:uniqueId val="{00000003-0FA6-486D-ABD9-C4420B38D16E}"/>
              </c:ext>
            </c:extLst>
          </c:dPt>
          <c:dLbls>
            <c:dLbl>
              <c:idx val="1"/>
              <c:layout>
                <c:manualLayout>
                  <c:x val="5.5221787505252071E-3"/>
                  <c:y val="4.6777161888815321E-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FA6-486D-ABD9-C4420B38D16E}"/>
                </c:ext>
              </c:extLst>
            </c:dLbl>
            <c:spPr>
              <a:solidFill>
                <a:schemeClr val="bg2">
                  <a:lumMod val="75000"/>
                  <a:alpha val="62000"/>
                </a:schemeClr>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a-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(Gràfics!$A$5,Gràfics!$A$9)</c:f>
              <c:strCache>
                <c:ptCount val="2"/>
                <c:pt idx="0">
                  <c:v>Producció renovable</c:v>
                </c:pt>
                <c:pt idx="1">
                  <c:v>Producció  no renovable</c:v>
                </c:pt>
              </c:strCache>
            </c:strRef>
          </c:cat>
          <c:val>
            <c:numRef>
              <c:f>(Gràfics!$G$5,Gràfics!$G$9)</c:f>
              <c:numCache>
                <c:formatCode>#,##0.0</c:formatCode>
                <c:ptCount val="2"/>
                <c:pt idx="0">
                  <c:v>129.95273591202417</c:v>
                </c:pt>
                <c:pt idx="1">
                  <c:v>8.7644759943367312</c:v>
                </c:pt>
              </c:numCache>
            </c:numRef>
          </c:val>
          <c:extLst>
            <c:ext xmlns:c16="http://schemas.microsoft.com/office/drawing/2014/chart" uri="{C3380CC4-5D6E-409C-BE32-E72D297353CC}">
              <c16:uniqueId val="{00000000-0FA6-486D-ABD9-C4420B38D16E}"/>
            </c:ext>
          </c:extLst>
        </c:ser>
        <c:dLbls>
          <c:showLegendKey val="0"/>
          <c:showVal val="0"/>
          <c:showCatName val="0"/>
          <c:showSerName val="0"/>
          <c:showPercent val="0"/>
          <c:showBubbleSize val="0"/>
          <c:showLeaderLines val="1"/>
        </c:dLbls>
        <c:firstSliceAng val="360"/>
        <c:holeSize val="62"/>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ca-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a-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7</xdr:col>
      <xdr:colOff>550545</xdr:colOff>
      <xdr:row>0</xdr:row>
      <xdr:rowOff>231457</xdr:rowOff>
    </xdr:from>
    <xdr:to>
      <xdr:col>17</xdr:col>
      <xdr:colOff>74295</xdr:colOff>
      <xdr:row>17</xdr:row>
      <xdr:rowOff>104775</xdr:rowOff>
    </xdr:to>
    <xdr:graphicFrame macro="">
      <xdr:nvGraphicFramePr>
        <xdr:cNvPr id="2" name="Gràfic 1">
          <a:extLst>
            <a:ext uri="{FF2B5EF4-FFF2-40B4-BE49-F238E27FC236}">
              <a16:creationId xmlns:a16="http://schemas.microsoft.com/office/drawing/2014/main" id="{A51376B0-8019-461E-9A68-2E0FECEC42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436245</xdr:colOff>
      <xdr:row>61</xdr:row>
      <xdr:rowOff>54290</xdr:rowOff>
    </xdr:from>
    <xdr:to>
      <xdr:col>18</xdr:col>
      <xdr:colOff>457200</xdr:colOff>
      <xdr:row>82</xdr:row>
      <xdr:rowOff>104775</xdr:rowOff>
    </xdr:to>
    <xdr:graphicFrame macro="">
      <xdr:nvGraphicFramePr>
        <xdr:cNvPr id="3" name="Gràfic 2">
          <a:extLst>
            <a:ext uri="{FF2B5EF4-FFF2-40B4-BE49-F238E27FC236}">
              <a16:creationId xmlns:a16="http://schemas.microsoft.com/office/drawing/2014/main" id="{B416C70E-F8F8-467B-A4FF-495853C7F7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430530</xdr:colOff>
      <xdr:row>22</xdr:row>
      <xdr:rowOff>149542</xdr:rowOff>
    </xdr:from>
    <xdr:to>
      <xdr:col>14</xdr:col>
      <xdr:colOff>55245</xdr:colOff>
      <xdr:row>39</xdr:row>
      <xdr:rowOff>114300</xdr:rowOff>
    </xdr:to>
    <xdr:graphicFrame macro="">
      <xdr:nvGraphicFramePr>
        <xdr:cNvPr id="4" name="Gràfic 3">
          <a:extLst>
            <a:ext uri="{FF2B5EF4-FFF2-40B4-BE49-F238E27FC236}">
              <a16:creationId xmlns:a16="http://schemas.microsoft.com/office/drawing/2014/main" id="{AB32011C-9A26-478E-AFFE-A145DF0A2A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521970</xdr:colOff>
      <xdr:row>5</xdr:row>
      <xdr:rowOff>69532</xdr:rowOff>
    </xdr:from>
    <xdr:to>
      <xdr:col>25</xdr:col>
      <xdr:colOff>72390</xdr:colOff>
      <xdr:row>20</xdr:row>
      <xdr:rowOff>98107</xdr:rowOff>
    </xdr:to>
    <xdr:graphicFrame macro="">
      <xdr:nvGraphicFramePr>
        <xdr:cNvPr id="5" name="Gràfic 4">
          <a:extLst>
            <a:ext uri="{FF2B5EF4-FFF2-40B4-BE49-F238E27FC236}">
              <a16:creationId xmlns:a16="http://schemas.microsoft.com/office/drawing/2014/main" id="{D3F77AE6-C32D-4505-8A29-A83731BABD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9CC1F-0F7B-47A8-AC66-F0A602BE47EA}">
  <sheetPr>
    <tabColor rgb="FF00B0F0"/>
  </sheetPr>
  <dimension ref="A1:J11"/>
  <sheetViews>
    <sheetView workbookViewId="0">
      <selection activeCell="H9" sqref="H9"/>
    </sheetView>
  </sheetViews>
  <sheetFormatPr defaultRowHeight="15" x14ac:dyDescent="0.25"/>
  <cols>
    <col min="1" max="1" width="43.7109375" bestFit="1" customWidth="1"/>
    <col min="2" max="2" width="9.5703125" customWidth="1"/>
    <col min="9" max="9" width="21.5703125" customWidth="1"/>
    <col min="10" max="10" width="24" customWidth="1"/>
  </cols>
  <sheetData>
    <row r="1" spans="1:10" ht="23.25" x14ac:dyDescent="0.35">
      <c r="A1" s="1" t="s">
        <v>0</v>
      </c>
      <c r="B1" s="1"/>
      <c r="C1" s="1"/>
    </row>
    <row r="2" spans="1:10" ht="23.25" x14ac:dyDescent="0.35">
      <c r="A2" s="1"/>
      <c r="B2" s="1"/>
      <c r="C2" s="1"/>
    </row>
    <row r="3" spans="1:10" s="86" customFormat="1" ht="18.75" x14ac:dyDescent="0.25">
      <c r="A3" s="85" t="s">
        <v>69</v>
      </c>
      <c r="B3" s="85"/>
      <c r="C3" s="85"/>
    </row>
    <row r="4" spans="1:10" s="86" customFormat="1" ht="16.5" thickBot="1" x14ac:dyDescent="0.3">
      <c r="A4" s="87" t="s">
        <v>70</v>
      </c>
      <c r="B4" s="88">
        <v>2019</v>
      </c>
      <c r="C4" s="88">
        <v>2020</v>
      </c>
      <c r="D4" s="88">
        <v>2021</v>
      </c>
      <c r="E4" s="88">
        <v>2022</v>
      </c>
      <c r="F4" s="88">
        <v>2023</v>
      </c>
      <c r="G4" s="88">
        <v>2024</v>
      </c>
      <c r="H4" s="88">
        <v>2025</v>
      </c>
      <c r="I4" s="87" t="s">
        <v>71</v>
      </c>
      <c r="J4" s="87" t="s">
        <v>72</v>
      </c>
    </row>
    <row r="5" spans="1:10" s="86" customFormat="1" ht="17.25" customHeight="1" x14ac:dyDescent="0.25">
      <c r="A5" s="7" t="s">
        <v>73</v>
      </c>
      <c r="B5" s="89">
        <f>SUM(B6:B7)</f>
        <v>50187.31</v>
      </c>
      <c r="C5" s="89">
        <f t="shared" ref="C5:H5" si="0">SUM(C6:C7)</f>
        <v>50470.090000000004</v>
      </c>
      <c r="D5" s="89">
        <f t="shared" si="0"/>
        <v>53640.530000000006</v>
      </c>
      <c r="E5" s="89">
        <f t="shared" si="0"/>
        <v>55014.780000000006</v>
      </c>
      <c r="F5" s="89">
        <f t="shared" si="0"/>
        <v>59430.250000000007</v>
      </c>
      <c r="G5" s="89">
        <f t="shared" si="0"/>
        <v>64379.19</v>
      </c>
      <c r="H5" s="89">
        <f t="shared" si="0"/>
        <v>68449.66</v>
      </c>
      <c r="I5" s="90"/>
      <c r="J5" s="40">
        <f>G5/$G$11</f>
        <v>0.91735441802619833</v>
      </c>
    </row>
    <row r="6" spans="1:10" s="86" customFormat="1" x14ac:dyDescent="0.25">
      <c r="A6" s="11" t="s">
        <v>4</v>
      </c>
      <c r="B6" s="91">
        <v>48400</v>
      </c>
      <c r="C6" s="91">
        <v>48415.08</v>
      </c>
      <c r="D6" s="91">
        <v>48914.080000000002</v>
      </c>
      <c r="E6" s="91">
        <v>48914.080000000002</v>
      </c>
      <c r="F6" s="91">
        <v>49224.08</v>
      </c>
      <c r="G6" s="91">
        <v>49224.08</v>
      </c>
      <c r="H6" s="91">
        <v>49224.08</v>
      </c>
      <c r="J6" s="24">
        <f>G6/$G$5</f>
        <v>0.76459613735432208</v>
      </c>
    </row>
    <row r="7" spans="1:10" x14ac:dyDescent="0.25">
      <c r="A7" s="16" t="s">
        <v>6</v>
      </c>
      <c r="B7" s="91">
        <v>1787.31</v>
      </c>
      <c r="C7" s="91">
        <v>2055.0099999999998</v>
      </c>
      <c r="D7" s="91">
        <v>4726.4500000000016</v>
      </c>
      <c r="E7" s="91">
        <v>6100.7000000000016</v>
      </c>
      <c r="F7" s="91">
        <v>10206.170000000004</v>
      </c>
      <c r="G7" s="91">
        <v>15155.11</v>
      </c>
      <c r="H7" s="91">
        <v>19225.580000000002</v>
      </c>
      <c r="J7" s="24">
        <f>G7/$G$5</f>
        <v>0.23540386264567789</v>
      </c>
    </row>
    <row r="8" spans="1:10" x14ac:dyDescent="0.25">
      <c r="A8" s="7" t="s">
        <v>74</v>
      </c>
      <c r="B8" s="89">
        <f>B9+B10</f>
        <v>5800</v>
      </c>
      <c r="C8" s="89">
        <f t="shared" ref="C8:G8" si="1">C9+C10</f>
        <v>5800</v>
      </c>
      <c r="D8" s="89">
        <f t="shared" si="1"/>
        <v>5800</v>
      </c>
      <c r="E8" s="89">
        <f t="shared" si="1"/>
        <v>5800</v>
      </c>
      <c r="F8" s="89">
        <f t="shared" si="1"/>
        <v>5800</v>
      </c>
      <c r="G8" s="89">
        <f t="shared" si="1"/>
        <v>5800</v>
      </c>
      <c r="H8" s="89">
        <f>H9+H10</f>
        <v>5800</v>
      </c>
      <c r="I8" s="90"/>
      <c r="J8" s="40">
        <f>G8/$G$11</f>
        <v>8.2645581973801632E-2</v>
      </c>
    </row>
    <row r="9" spans="1:10" x14ac:dyDescent="0.25">
      <c r="A9" s="11" t="s">
        <v>77</v>
      </c>
      <c r="B9" s="91">
        <v>1800</v>
      </c>
      <c r="C9" s="91">
        <v>1800</v>
      </c>
      <c r="D9" s="91">
        <v>1800</v>
      </c>
      <c r="E9" s="91">
        <v>1800</v>
      </c>
      <c r="F9" s="91">
        <v>1800</v>
      </c>
      <c r="G9" s="91">
        <v>1800</v>
      </c>
      <c r="H9" s="91">
        <v>1800</v>
      </c>
      <c r="J9" s="24">
        <f>G9/$G$8</f>
        <v>0.31034482758620691</v>
      </c>
    </row>
    <row r="10" spans="1:10" x14ac:dyDescent="0.25">
      <c r="A10" s="11" t="s">
        <v>76</v>
      </c>
      <c r="B10" s="91">
        <v>4000</v>
      </c>
      <c r="C10" s="91">
        <v>4000</v>
      </c>
      <c r="D10" s="91">
        <v>4000</v>
      </c>
      <c r="E10" s="91">
        <v>4000</v>
      </c>
      <c r="F10" s="91">
        <v>4000</v>
      </c>
      <c r="G10" s="91">
        <v>4000</v>
      </c>
      <c r="H10" s="91">
        <v>4000</v>
      </c>
      <c r="J10" s="24">
        <f>G10/$G$8</f>
        <v>0.68965517241379315</v>
      </c>
    </row>
    <row r="11" spans="1:10" x14ac:dyDescent="0.25">
      <c r="A11" s="7" t="s">
        <v>75</v>
      </c>
      <c r="B11" s="92">
        <f>B5+B8</f>
        <v>55987.31</v>
      </c>
      <c r="C11" s="92">
        <f t="shared" ref="C11:H11" si="2">C5+C8</f>
        <v>56270.090000000004</v>
      </c>
      <c r="D11" s="92">
        <f t="shared" si="2"/>
        <v>59440.530000000006</v>
      </c>
      <c r="E11" s="92">
        <f t="shared" si="2"/>
        <v>60814.780000000006</v>
      </c>
      <c r="F11" s="92">
        <f t="shared" si="2"/>
        <v>65230.250000000007</v>
      </c>
      <c r="G11" s="92">
        <f t="shared" si="2"/>
        <v>70179.19</v>
      </c>
      <c r="H11" s="92">
        <f t="shared" si="2"/>
        <v>74249.66</v>
      </c>
      <c r="I11" s="93"/>
      <c r="J11" s="94"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B3133-C834-4928-AC83-44E6F9DD5449}">
  <sheetPr>
    <tabColor rgb="FF00B0F0"/>
  </sheetPr>
  <dimension ref="A1:S60"/>
  <sheetViews>
    <sheetView topLeftCell="D16" zoomScaleNormal="100" workbookViewId="0">
      <selection activeCell="L39" sqref="L39"/>
    </sheetView>
  </sheetViews>
  <sheetFormatPr defaultRowHeight="15" x14ac:dyDescent="0.25"/>
  <cols>
    <col min="1" max="1" width="50.42578125" bestFit="1" customWidth="1"/>
    <col min="2" max="3" width="13" bestFit="1" customWidth="1"/>
    <col min="4" max="6" width="12.7109375" bestFit="1" customWidth="1"/>
    <col min="7" max="7" width="19.5703125" bestFit="1" customWidth="1"/>
    <col min="8" max="8" width="20.140625" bestFit="1" customWidth="1"/>
    <col min="11" max="11" width="8.5703125" customWidth="1"/>
    <col min="12" max="12" width="27.85546875" customWidth="1"/>
    <col min="13" max="13" width="11.42578125" customWidth="1"/>
    <col min="14" max="14" width="10.140625" bestFit="1" customWidth="1"/>
    <col min="15" max="15" width="10.42578125" bestFit="1" customWidth="1"/>
    <col min="16" max="16" width="12.5703125" customWidth="1"/>
    <col min="17" max="17" width="10.85546875" bestFit="1" customWidth="1"/>
    <col min="18" max="18" width="10.5703125" bestFit="1" customWidth="1"/>
  </cols>
  <sheetData>
    <row r="1" spans="1:9" ht="23.25" x14ac:dyDescent="0.35">
      <c r="A1" s="1" t="s">
        <v>0</v>
      </c>
      <c r="H1" s="2"/>
    </row>
    <row r="2" spans="1:9" ht="14.25" customHeight="1" x14ac:dyDescent="0.35">
      <c r="A2" s="1"/>
      <c r="H2" s="2"/>
    </row>
    <row r="3" spans="1:9" ht="18.75" x14ac:dyDescent="0.3">
      <c r="A3" s="3" t="s">
        <v>79</v>
      </c>
      <c r="F3" s="4"/>
      <c r="H3" s="2"/>
    </row>
    <row r="4" spans="1:9" ht="19.5" thickBot="1" x14ac:dyDescent="0.35">
      <c r="A4" s="96" t="s">
        <v>78</v>
      </c>
      <c r="B4" s="95">
        <v>2021</v>
      </c>
      <c r="C4" s="95">
        <v>2022</v>
      </c>
      <c r="D4" s="95">
        <v>2023</v>
      </c>
      <c r="E4" s="95">
        <v>2024</v>
      </c>
      <c r="F4" s="95">
        <v>2025</v>
      </c>
      <c r="G4" s="5" t="s">
        <v>1</v>
      </c>
      <c r="H4" s="5" t="s">
        <v>2</v>
      </c>
    </row>
    <row r="5" spans="1:9" x14ac:dyDescent="0.25">
      <c r="A5" s="7" t="s">
        <v>3</v>
      </c>
      <c r="B5" s="8">
        <f>B6+B7+B8</f>
        <v>101760409.88748008</v>
      </c>
      <c r="C5" s="8">
        <f>C6+C7+C8</f>
        <v>95718914.737820044</v>
      </c>
      <c r="D5" s="8">
        <f>D6+D7+D8</f>
        <v>101675142.75824569</v>
      </c>
      <c r="E5" s="8">
        <f>E6+E7+E8</f>
        <v>125797364.83136107</v>
      </c>
      <c r="F5" s="8">
        <f>F6+F7+F8</f>
        <v>125884653.95917702</v>
      </c>
      <c r="G5" s="9">
        <f>(F5-B5)/B5</f>
        <v>0.23706905365624931</v>
      </c>
      <c r="H5" s="10">
        <f>F5/$F$12</f>
        <v>0.93490601149467101</v>
      </c>
      <c r="I5" s="46">
        <f>F7/F19</f>
        <v>3.2606333081299184E-2</v>
      </c>
    </row>
    <row r="6" spans="1:9" x14ac:dyDescent="0.25">
      <c r="A6" s="11" t="s">
        <v>4</v>
      </c>
      <c r="B6" s="12">
        <v>80482241.833000004</v>
      </c>
      <c r="C6" s="12">
        <v>69688542.513999999</v>
      </c>
      <c r="D6" s="12">
        <v>72521269.776225731</v>
      </c>
      <c r="E6" s="12">
        <v>92471407.142521083</v>
      </c>
      <c r="F6" s="12">
        <v>88945106.77087</v>
      </c>
      <c r="G6" s="13">
        <f t="shared" ref="G6:G13" si="0">(F6-B6)/B6</f>
        <v>0.10515195333935121</v>
      </c>
      <c r="H6" s="14">
        <f>F6/$F$5</f>
        <v>0.70656036278825451</v>
      </c>
      <c r="I6" s="15" t="s">
        <v>5</v>
      </c>
    </row>
    <row r="7" spans="1:9" x14ac:dyDescent="0.25">
      <c r="A7" s="16" t="s">
        <v>6</v>
      </c>
      <c r="B7" s="17">
        <v>2811243.2039999999</v>
      </c>
      <c r="C7" s="12">
        <v>5956397.7960000001</v>
      </c>
      <c r="D7" s="12">
        <v>11177677.223999999</v>
      </c>
      <c r="E7" s="12">
        <v>15887823.672000002</v>
      </c>
      <c r="F7" s="18">
        <v>18787522.365486931</v>
      </c>
      <c r="G7" s="13">
        <f t="shared" si="0"/>
        <v>5.6829943203615239</v>
      </c>
      <c r="H7" s="14">
        <f>F7/$F$5</f>
        <v>0.14924394494963233</v>
      </c>
      <c r="I7" t="s">
        <v>7</v>
      </c>
    </row>
    <row r="8" spans="1:9" x14ac:dyDescent="0.25">
      <c r="A8" s="19" t="s">
        <v>8</v>
      </c>
      <c r="B8" s="20">
        <v>18466924.85048008</v>
      </c>
      <c r="C8" s="20">
        <v>20073974.427820042</v>
      </c>
      <c r="D8" s="20">
        <v>17976195.758019969</v>
      </c>
      <c r="E8" s="20">
        <v>17438134.016839977</v>
      </c>
      <c r="F8" s="20">
        <v>18152024.822820082</v>
      </c>
      <c r="G8" s="21">
        <f t="shared" si="0"/>
        <v>-1.705210966144214E-2</v>
      </c>
      <c r="H8" s="14">
        <f>F8/$F$5</f>
        <v>0.14419569226211307</v>
      </c>
      <c r="I8" t="s">
        <v>9</v>
      </c>
    </row>
    <row r="9" spans="1:9" x14ac:dyDescent="0.25">
      <c r="A9" s="7" t="s">
        <v>10</v>
      </c>
      <c r="B9" s="8">
        <f>B10+B11</f>
        <v>10278712.255520226</v>
      </c>
      <c r="C9" s="8">
        <f>C10+C11</f>
        <v>9082966.0376798436</v>
      </c>
      <c r="D9" s="8">
        <f>D10+D11</f>
        <v>11932155.779980199</v>
      </c>
      <c r="E9" s="8">
        <f>E10+E11</f>
        <v>11054922.21916022</v>
      </c>
      <c r="F9" s="8">
        <f>F10+F11</f>
        <v>8764874.8826797903</v>
      </c>
      <c r="G9" s="22">
        <f>(F9-B9)/B9</f>
        <v>-0.14727889401003744</v>
      </c>
      <c r="H9" s="10">
        <f>F9/$F$12</f>
        <v>6.5093988505328979E-2</v>
      </c>
    </row>
    <row r="10" spans="1:9" x14ac:dyDescent="0.25">
      <c r="A10" s="11" t="s">
        <v>11</v>
      </c>
      <c r="B10" s="17">
        <v>7065753.5060002115</v>
      </c>
      <c r="C10" s="17">
        <v>5590405.5654998338</v>
      </c>
      <c r="D10" s="17">
        <v>8687485.3380002063</v>
      </c>
      <c r="E10" s="17">
        <v>7804796.6360002253</v>
      </c>
      <c r="F10" s="17">
        <v>5361235.5054997718</v>
      </c>
      <c r="G10" s="23">
        <f t="shared" si="0"/>
        <v>-0.24123655022114335</v>
      </c>
      <c r="H10" s="24">
        <f>F10/$F$9</f>
        <v>0.61167279365208882</v>
      </c>
      <c r="I10" t="s">
        <v>12</v>
      </c>
    </row>
    <row r="11" spans="1:9" x14ac:dyDescent="0.25">
      <c r="A11" s="25" t="s">
        <v>13</v>
      </c>
      <c r="B11" s="26">
        <v>3212958.749520015</v>
      </c>
      <c r="C11" s="26">
        <v>3492560.4721800089</v>
      </c>
      <c r="D11" s="26">
        <v>3244670.4419799931</v>
      </c>
      <c r="E11" s="26">
        <v>3250125.5831599943</v>
      </c>
      <c r="F11" s="26">
        <v>3403639.3771800175</v>
      </c>
      <c r="G11" s="27">
        <f t="shared" si="0"/>
        <v>5.9347362517022169E-2</v>
      </c>
      <c r="H11" s="28">
        <f>F11/$F$9</f>
        <v>0.38832720634791107</v>
      </c>
      <c r="I11" t="s">
        <v>14</v>
      </c>
    </row>
    <row r="12" spans="1:9" x14ac:dyDescent="0.25">
      <c r="A12" s="29" t="s">
        <v>15</v>
      </c>
      <c r="B12" s="30">
        <f>B5+B9</f>
        <v>112039122.1430003</v>
      </c>
      <c r="C12" s="30">
        <f>C5+C9</f>
        <v>104801880.77549988</v>
      </c>
      <c r="D12" s="30">
        <f>D5+D9</f>
        <v>113607298.53822589</v>
      </c>
      <c r="E12" s="30">
        <f>E5+E9</f>
        <v>136852287.05052128</v>
      </c>
      <c r="F12" s="30">
        <f>F5+F9</f>
        <v>134649528.84185681</v>
      </c>
      <c r="G12" s="31">
        <f t="shared" si="0"/>
        <v>0.20180813867854014</v>
      </c>
      <c r="H12" s="32">
        <f>F12/$F$19</f>
        <v>0.23368847159553569</v>
      </c>
    </row>
    <row r="13" spans="1:9" x14ac:dyDescent="0.25">
      <c r="A13" s="33" t="s">
        <v>16</v>
      </c>
      <c r="B13" s="34">
        <f>B12-B16</f>
        <v>7191708.9470003098</v>
      </c>
      <c r="C13" s="34">
        <f>C12-C16</f>
        <v>6611455.6714998782</v>
      </c>
      <c r="D13" s="34">
        <f>D12-D16</f>
        <v>7517436.8532258421</v>
      </c>
      <c r="E13" s="34">
        <f>E12-E16</f>
        <v>9958495.5265211612</v>
      </c>
      <c r="F13" s="34">
        <f>F12-F16</f>
        <v>8874936.572856918</v>
      </c>
      <c r="G13" s="35">
        <f t="shared" si="0"/>
        <v>0.2340511328060195</v>
      </c>
      <c r="H13" s="36" t="s">
        <v>17</v>
      </c>
      <c r="I13" t="s">
        <v>18</v>
      </c>
    </row>
    <row r="14" spans="1:9" x14ac:dyDescent="0.25">
      <c r="A14" s="33" t="s">
        <v>19</v>
      </c>
      <c r="B14" s="34">
        <f>B13-B15</f>
        <v>6708787.7430003099</v>
      </c>
      <c r="C14" s="34">
        <f>C13-C15</f>
        <v>5830170.8754998781</v>
      </c>
      <c r="D14" s="34">
        <f>D13-D15</f>
        <v>4769495.1292258427</v>
      </c>
      <c r="E14" s="34">
        <f>E13-E15</f>
        <v>4793367.0945211593</v>
      </c>
      <c r="F14" s="34">
        <f>F13-F15</f>
        <v>4770374.2073699869</v>
      </c>
      <c r="G14" s="35"/>
      <c r="H14" s="36"/>
    </row>
    <row r="15" spans="1:9" x14ac:dyDescent="0.25">
      <c r="A15" s="123" t="s">
        <v>20</v>
      </c>
      <c r="B15" s="37">
        <v>482921.20399999991</v>
      </c>
      <c r="C15" s="37">
        <v>781284.79600000009</v>
      </c>
      <c r="D15" s="37">
        <v>2747941.7239999995</v>
      </c>
      <c r="E15" s="37">
        <v>5165128.4320000019</v>
      </c>
      <c r="F15" s="37">
        <v>4104562.3654869311</v>
      </c>
      <c r="G15" s="38">
        <f>(F15-B15)/B15</f>
        <v>7.4994453163148576</v>
      </c>
      <c r="H15" s="39">
        <f>E15/E7</f>
        <v>0.32509980842138853</v>
      </c>
      <c r="I15" t="s">
        <v>21</v>
      </c>
    </row>
    <row r="16" spans="1:9" x14ac:dyDescent="0.25">
      <c r="A16" s="33" t="s">
        <v>22</v>
      </c>
      <c r="B16" s="30">
        <v>104847413.19599999</v>
      </c>
      <c r="C16" s="30">
        <v>98190425.104000002</v>
      </c>
      <c r="D16" s="30">
        <v>106089861.68500005</v>
      </c>
      <c r="E16" s="30">
        <v>126893791.52400012</v>
      </c>
      <c r="F16" s="30">
        <v>125774592.26899989</v>
      </c>
      <c r="G16" s="35">
        <f>(F16-B16)/B16</f>
        <v>0.19959652255682242</v>
      </c>
      <c r="H16" s="36" t="s">
        <v>17</v>
      </c>
      <c r="I16" t="s">
        <v>98</v>
      </c>
    </row>
    <row r="17" spans="1:19" x14ac:dyDescent="0.25">
      <c r="A17" s="7" t="s">
        <v>23</v>
      </c>
      <c r="B17" s="8">
        <v>426887150</v>
      </c>
      <c r="C17" s="8">
        <v>461422530</v>
      </c>
      <c r="D17" s="8">
        <v>445409760</v>
      </c>
      <c r="E17" s="8">
        <v>434152940</v>
      </c>
      <c r="F17" s="8">
        <v>450527770</v>
      </c>
      <c r="G17" s="9">
        <f>(F17-B17)/F17</f>
        <v>5.2473169411954339E-2</v>
      </c>
      <c r="H17" s="40">
        <f>F17/$F$19</f>
        <v>0.78190504555198248</v>
      </c>
      <c r="I17" t="s">
        <v>24</v>
      </c>
    </row>
    <row r="18" spans="1:19" x14ac:dyDescent="0.25">
      <c r="A18" s="29" t="s">
        <v>25</v>
      </c>
      <c r="B18" s="8">
        <v>-20700</v>
      </c>
      <c r="C18" s="8">
        <v>-30880</v>
      </c>
      <c r="D18" s="8">
        <v>-29660</v>
      </c>
      <c r="E18" s="8">
        <v>-27370</v>
      </c>
      <c r="F18" s="8">
        <v>-109930</v>
      </c>
      <c r="G18" s="31" t="s">
        <v>17</v>
      </c>
      <c r="H18" s="41" t="s">
        <v>17</v>
      </c>
      <c r="I18" s="15" t="s">
        <v>26</v>
      </c>
    </row>
    <row r="19" spans="1:19" x14ac:dyDescent="0.25">
      <c r="A19" s="42" t="s">
        <v>27</v>
      </c>
      <c r="B19" s="43">
        <f>B16+B17+B18</f>
        <v>531713863.19599998</v>
      </c>
      <c r="C19" s="43">
        <f t="shared" ref="C19:F19" si="1">C16+C17+C18</f>
        <v>559582075.10399997</v>
      </c>
      <c r="D19" s="43">
        <f t="shared" si="1"/>
        <v>551469961.68500006</v>
      </c>
      <c r="E19" s="43">
        <f t="shared" si="1"/>
        <v>561019361.52400017</v>
      </c>
      <c r="F19" s="43">
        <f t="shared" si="1"/>
        <v>576192432.26899993</v>
      </c>
      <c r="G19" s="44">
        <f>(F19-B19)/F19</f>
        <v>7.7193948726203998E-2</v>
      </c>
      <c r="H19" s="45" t="s">
        <v>17</v>
      </c>
      <c r="I19" t="s">
        <v>28</v>
      </c>
    </row>
    <row r="20" spans="1:19" x14ac:dyDescent="0.25">
      <c r="B20" s="46"/>
      <c r="C20" s="46"/>
      <c r="D20" s="46"/>
      <c r="E20" s="46"/>
      <c r="F20" s="46"/>
    </row>
    <row r="21" spans="1:19" x14ac:dyDescent="0.25">
      <c r="A21" s="99"/>
      <c r="M21" s="47" t="s">
        <v>29</v>
      </c>
      <c r="N21" s="47"/>
      <c r="O21" s="47"/>
      <c r="P21" s="47"/>
      <c r="Q21" s="47"/>
    </row>
    <row r="22" spans="1:19" ht="15.75" thickBot="1" x14ac:dyDescent="0.3">
      <c r="A22" s="48" t="s">
        <v>30</v>
      </c>
      <c r="B22" s="49">
        <f>B15/B12</f>
        <v>4.3102908587915123E-3</v>
      </c>
      <c r="C22" s="49">
        <f>C15/C12</f>
        <v>7.4548738077861425E-3</v>
      </c>
      <c r="D22" s="49">
        <f>D15/D12</f>
        <v>2.4188073824107249E-2</v>
      </c>
      <c r="E22" s="49">
        <f>E15/E12</f>
        <v>3.7742361076459098E-2</v>
      </c>
      <c r="F22" s="49">
        <f>F15/F12</f>
        <v>3.0483302843990326E-2</v>
      </c>
      <c r="G22" s="27">
        <f>(F22-B22)/B22</f>
        <v>6.072214809312662</v>
      </c>
      <c r="H22" s="28"/>
      <c r="M22" s="6">
        <v>2021</v>
      </c>
      <c r="N22" s="6">
        <v>2022</v>
      </c>
      <c r="O22" s="6">
        <v>2023</v>
      </c>
      <c r="P22" s="6">
        <v>2024</v>
      </c>
      <c r="Q22" s="6">
        <v>2025</v>
      </c>
    </row>
    <row r="23" spans="1:19" x14ac:dyDescent="0.25">
      <c r="A23" s="48" t="s">
        <v>31</v>
      </c>
      <c r="B23" s="49">
        <f>B15/B7</f>
        <v>0.17178207965531819</v>
      </c>
      <c r="C23" s="49">
        <f>C15/C7</f>
        <v>0.13116733011429649</v>
      </c>
      <c r="D23" s="49">
        <f>D15/D7</f>
        <v>0.24584192841959984</v>
      </c>
      <c r="E23" s="49">
        <f>E15/E7</f>
        <v>0.32509980842138853</v>
      </c>
      <c r="F23" s="49">
        <f>F15/F7</f>
        <v>0.21847278665265077</v>
      </c>
      <c r="G23" s="27"/>
      <c r="L23" s="50" t="s">
        <v>82</v>
      </c>
      <c r="M23" s="51">
        <v>1514491.3670000001</v>
      </c>
      <c r="N23" s="51">
        <v>5152452</v>
      </c>
      <c r="O23" s="51">
        <v>9351350.5199999996</v>
      </c>
      <c r="P23" s="51">
        <v>12117391.24</v>
      </c>
      <c r="Q23" s="51">
        <v>16000902.390999999</v>
      </c>
    </row>
    <row r="24" spans="1:19" x14ac:dyDescent="0.25">
      <c r="A24" s="48"/>
      <c r="B24" s="49"/>
      <c r="C24" s="49"/>
      <c r="D24" s="49"/>
      <c r="E24" s="49"/>
      <c r="F24" s="49"/>
      <c r="G24" s="52"/>
      <c r="L24" s="50" t="s">
        <v>88</v>
      </c>
      <c r="M24" s="51">
        <f>1222331+M36</f>
        <v>2328322</v>
      </c>
      <c r="N24" s="51">
        <f>3777720+N36</f>
        <v>5175113</v>
      </c>
      <c r="O24" s="51">
        <f>5581138.52+O36</f>
        <v>8429735.5</v>
      </c>
      <c r="P24" s="51">
        <f>7560436.24+P36</f>
        <v>10722695.24</v>
      </c>
      <c r="Q24" s="51">
        <f>10694060+Q36</f>
        <v>14682960</v>
      </c>
    </row>
    <row r="25" spans="1:19" x14ac:dyDescent="0.25">
      <c r="A25" s="7" t="s">
        <v>32</v>
      </c>
      <c r="B25" s="8">
        <f>B19-(B29+B58+B15)</f>
        <v>65117594.689388394</v>
      </c>
      <c r="C25" s="8">
        <f>C19-(C29+C58+C15)</f>
        <v>26297065.174052358</v>
      </c>
      <c r="D25" s="8">
        <f>D19-(D29+D58+D15)</f>
        <v>51280771.461000085</v>
      </c>
      <c r="E25" s="8">
        <f>E19-(E29+E58+E15)</f>
        <v>38465069.062000215</v>
      </c>
      <c r="F25" s="8">
        <f>F19-(F29+F58+F15)</f>
        <v>30769523.903512955</v>
      </c>
      <c r="G25" s="8" t="s">
        <v>17</v>
      </c>
      <c r="H25" s="8" t="s">
        <v>17</v>
      </c>
      <c r="L25" s="106" t="s">
        <v>86</v>
      </c>
      <c r="M25" s="107">
        <v>1876827.4</v>
      </c>
      <c r="N25" s="107">
        <v>6284706</v>
      </c>
      <c r="O25" s="107">
        <v>11507911</v>
      </c>
      <c r="P25" s="107">
        <v>15946337</v>
      </c>
      <c r="Q25" s="108"/>
    </row>
    <row r="26" spans="1:19" x14ac:dyDescent="0.25">
      <c r="A26" s="54" t="s">
        <v>33</v>
      </c>
      <c r="B26" s="55">
        <f>B25/B19</f>
        <v>0.12246736298727046</v>
      </c>
      <c r="C26" s="55">
        <f>C25/C19</f>
        <v>4.6994116402254253E-2</v>
      </c>
      <c r="D26" s="55">
        <f>D25/D19</f>
        <v>9.2989237898494434E-2</v>
      </c>
      <c r="E26" s="55">
        <f>E25/E19</f>
        <v>6.8562819218057763E-2</v>
      </c>
      <c r="F26" s="55">
        <f>F25/F19</f>
        <v>5.34014717658561E-2</v>
      </c>
      <c r="G26" s="56"/>
      <c r="H26" s="56"/>
      <c r="L26" s="97" t="s">
        <v>87</v>
      </c>
      <c r="M26" s="98">
        <v>1877256.3670000001</v>
      </c>
      <c r="N26" s="98">
        <v>6294069</v>
      </c>
      <c r="O26" s="98">
        <v>12044373</v>
      </c>
      <c r="P26" s="98">
        <v>17411719.651999999</v>
      </c>
      <c r="Q26" s="18">
        <f>Q23/R29</f>
        <v>20661526.036274403</v>
      </c>
    </row>
    <row r="27" spans="1:19" x14ac:dyDescent="0.25">
      <c r="A27" s="57" t="s">
        <v>35</v>
      </c>
      <c r="B27" s="58">
        <v>6.5199999999999994E-2</v>
      </c>
      <c r="C27" s="58">
        <v>6.5199999999999994E-2</v>
      </c>
      <c r="D27" s="58">
        <v>6.5199999999999994E-2</v>
      </c>
      <c r="E27" s="58">
        <v>6.5199999999999994E-2</v>
      </c>
      <c r="F27" s="58">
        <v>6.5199999999999994E-2</v>
      </c>
      <c r="G27" s="58" t="s">
        <v>17</v>
      </c>
      <c r="H27" s="58" t="s">
        <v>17</v>
      </c>
      <c r="I27" t="s">
        <v>36</v>
      </c>
      <c r="L27" s="105" t="s">
        <v>91</v>
      </c>
      <c r="M27" s="104">
        <v>1568667</v>
      </c>
      <c r="N27" s="104">
        <v>4410501</v>
      </c>
      <c r="O27" s="104">
        <v>6948557</v>
      </c>
      <c r="P27" s="104">
        <v>9530878</v>
      </c>
      <c r="Q27" s="18"/>
    </row>
    <row r="28" spans="1:19" x14ac:dyDescent="0.25">
      <c r="L28" s="97" t="s">
        <v>83</v>
      </c>
      <c r="M28" s="98">
        <f>M27+M35</f>
        <v>2811243.2039999999</v>
      </c>
      <c r="N28" s="98">
        <f>N27+N35</f>
        <v>5956397.7960000001</v>
      </c>
      <c r="O28" s="98">
        <f>O27+O35</f>
        <v>11177677.223999999</v>
      </c>
      <c r="P28" s="98">
        <f>P27+P35</f>
        <v>15887823.672000002</v>
      </c>
      <c r="Q28" s="18">
        <f>Q24/R30</f>
        <v>18787522.365486931</v>
      </c>
    </row>
    <row r="29" spans="1:19" x14ac:dyDescent="0.25">
      <c r="A29" s="61" t="s">
        <v>38</v>
      </c>
      <c r="B29" s="100">
        <f>B30+B44+B51</f>
        <v>462247497.66564417</v>
      </c>
      <c r="C29" s="100">
        <f>C30+C44+C51</f>
        <v>528087247.15835255</v>
      </c>
      <c r="D29" s="100">
        <f>D30+D44+D51</f>
        <v>495864907.5</v>
      </c>
      <c r="E29" s="100">
        <f>E30+E44+E51</f>
        <v>515197581.02999997</v>
      </c>
      <c r="F29" s="100">
        <f>F30+F44+F51</f>
        <v>531857193</v>
      </c>
      <c r="G29" s="62"/>
      <c r="H29" s="63"/>
      <c r="L29" s="101" t="s">
        <v>84</v>
      </c>
      <c r="M29" s="46">
        <f>M23/M26</f>
        <v>0.80675788007595028</v>
      </c>
      <c r="N29" s="46">
        <f>N23/N26</f>
        <v>0.81862019625142335</v>
      </c>
      <c r="O29" s="46">
        <f>O23/O26</f>
        <v>0.77640824640684902</v>
      </c>
      <c r="P29" s="46">
        <f>P23/P26</f>
        <v>0.69593305441304498</v>
      </c>
      <c r="R29" s="53">
        <f>(O29+P29+N29+M29)/4</f>
        <v>0.77442984428681694</v>
      </c>
    </row>
    <row r="30" spans="1:19" x14ac:dyDescent="0.25">
      <c r="A30" s="64" t="s">
        <v>39</v>
      </c>
      <c r="B30" s="65">
        <f>SUM(B31:B43)</f>
        <v>12121200.839787882</v>
      </c>
      <c r="C30" s="65">
        <f>SUM(C31:C43)</f>
        <v>13847671.682513125</v>
      </c>
      <c r="D30" s="66">
        <f>SUM(D31:D43)</f>
        <v>12428377</v>
      </c>
      <c r="E30" s="66">
        <f>SUM(E31:E43)</f>
        <v>13740940</v>
      </c>
      <c r="F30" s="66">
        <f>SUM(F31:F43)</f>
        <v>14302119</v>
      </c>
      <c r="G30" s="67">
        <f>(F30-D30)/D30</f>
        <v>0.15076320906583376</v>
      </c>
      <c r="H30" s="68">
        <f>F30/$F$29</f>
        <v>2.6890900768545212E-2</v>
      </c>
      <c r="L30" s="101" t="s">
        <v>85</v>
      </c>
      <c r="M30" s="46">
        <f>M24/M28</f>
        <v>0.82821792034468178</v>
      </c>
      <c r="N30" s="46">
        <f>N24/N28</f>
        <v>0.86883266988570351</v>
      </c>
      <c r="O30" s="46">
        <f>O24/O28</f>
        <v>0.75415807158040016</v>
      </c>
      <c r="P30" s="46">
        <f>P24/P28</f>
        <v>0.67490019157861147</v>
      </c>
      <c r="R30" s="53">
        <f>(O30+P30+N30+M30)/4</f>
        <v>0.7815272133473492</v>
      </c>
    </row>
    <row r="31" spans="1:19" x14ac:dyDescent="0.25">
      <c r="A31" s="69" t="s">
        <v>40</v>
      </c>
      <c r="B31" s="70">
        <v>8543.514419719264</v>
      </c>
      <c r="C31" s="70">
        <v>9760.401156851005</v>
      </c>
      <c r="D31" s="71">
        <v>8580</v>
      </c>
      <c r="E31" s="71">
        <v>8731</v>
      </c>
      <c r="F31" s="71">
        <v>11278</v>
      </c>
      <c r="G31" s="72">
        <f t="shared" ref="G31:G56" si="2">(F31-D31)/D31</f>
        <v>0.31445221445221444</v>
      </c>
      <c r="H31" s="73">
        <f t="shared" ref="H31:H56" si="3">F31/$F$29</f>
        <v>2.1204940251696474E-5</v>
      </c>
      <c r="L31" s="50" t="s">
        <v>34</v>
      </c>
      <c r="M31" s="18">
        <f>M23/$R$29</f>
        <v>1955621.1297547759</v>
      </c>
      <c r="N31" s="18">
        <f>N23/$R$29</f>
        <v>6653219.8339346852</v>
      </c>
      <c r="O31" s="18">
        <f>O23/$R$29</f>
        <v>12075142.233977031</v>
      </c>
      <c r="P31" s="18">
        <f>P23/$R$29</f>
        <v>15646854.688508386</v>
      </c>
      <c r="Q31" s="18">
        <f>Q23/$R$29</f>
        <v>20661526.036274403</v>
      </c>
      <c r="R31" s="18"/>
      <c r="S31" s="18"/>
    </row>
    <row r="32" spans="1:19" x14ac:dyDescent="0.25">
      <c r="A32" s="69" t="s">
        <v>41</v>
      </c>
      <c r="B32" s="70" t="s">
        <v>17</v>
      </c>
      <c r="C32" s="70" t="s">
        <v>17</v>
      </c>
      <c r="D32" s="74" t="s">
        <v>17</v>
      </c>
      <c r="E32" s="71" t="s">
        <v>17</v>
      </c>
      <c r="F32" s="71" t="s">
        <v>17</v>
      </c>
      <c r="G32" s="75" t="s">
        <v>17</v>
      </c>
      <c r="H32" s="73" t="s">
        <v>17</v>
      </c>
      <c r="L32" s="50" t="s">
        <v>96</v>
      </c>
      <c r="M32" s="59">
        <f>M26-M23</f>
        <v>362765</v>
      </c>
      <c r="N32" s="59">
        <f>N26-N23</f>
        <v>1141617</v>
      </c>
      <c r="O32" s="59">
        <f>O26-O23</f>
        <v>2693022.4800000004</v>
      </c>
      <c r="P32" s="59">
        <f>P26-P23</f>
        <v>5294328.4119999986</v>
      </c>
      <c r="Q32" s="59">
        <f>Q31-Q23</f>
        <v>4660623.6452744044</v>
      </c>
    </row>
    <row r="33" spans="1:17" x14ac:dyDescent="0.25">
      <c r="A33" s="69" t="s">
        <v>42</v>
      </c>
      <c r="B33" s="70" t="s">
        <v>17</v>
      </c>
      <c r="C33" s="70" t="s">
        <v>17</v>
      </c>
      <c r="D33" s="71" t="s">
        <v>17</v>
      </c>
      <c r="E33" s="71" t="s">
        <v>17</v>
      </c>
      <c r="F33" s="71" t="s">
        <v>17</v>
      </c>
      <c r="G33" s="75" t="s">
        <v>17</v>
      </c>
      <c r="H33" s="73" t="s">
        <v>17</v>
      </c>
      <c r="L33" s="97" t="s">
        <v>97</v>
      </c>
      <c r="M33" s="98">
        <f>M28-M24</f>
        <v>482921.20399999991</v>
      </c>
      <c r="N33" s="98">
        <f t="shared" ref="N33:O33" si="4">N28-N24</f>
        <v>781284.79600000009</v>
      </c>
      <c r="O33" s="98">
        <f t="shared" si="4"/>
        <v>2747941.7239999995</v>
      </c>
      <c r="P33" s="98">
        <f>P28-P24</f>
        <v>5165128.4320000019</v>
      </c>
      <c r="Q33" s="98">
        <f>Q28-Q24</f>
        <v>4104562.3654869311</v>
      </c>
    </row>
    <row r="34" spans="1:17" x14ac:dyDescent="0.25">
      <c r="A34" s="69" t="s">
        <v>43</v>
      </c>
      <c r="B34" s="70">
        <v>584004.63558085822</v>
      </c>
      <c r="C34" s="70">
        <v>667186.73846600263</v>
      </c>
      <c r="D34" s="71">
        <v>618754</v>
      </c>
      <c r="E34" s="71">
        <v>651552</v>
      </c>
      <c r="F34" s="71">
        <v>679841</v>
      </c>
      <c r="G34" s="72">
        <f t="shared" si="2"/>
        <v>9.8725826418899917E-2</v>
      </c>
      <c r="H34" s="73">
        <f t="shared" si="3"/>
        <v>1.2782397398167745E-3</v>
      </c>
      <c r="L34" s="50" t="s">
        <v>37</v>
      </c>
      <c r="M34" s="60">
        <f>M32/M26</f>
        <v>0.19324211992404977</v>
      </c>
      <c r="N34" s="60">
        <f>N32/N26</f>
        <v>0.18137980374857662</v>
      </c>
      <c r="O34" s="60">
        <f>O32/O26</f>
        <v>0.22359175359315098</v>
      </c>
      <c r="P34" s="60">
        <f>P32/P26</f>
        <v>0.30406694558695502</v>
      </c>
      <c r="Q34" s="60">
        <f>Q32/Q31</f>
        <v>0.22557015571318312</v>
      </c>
    </row>
    <row r="35" spans="1:17" x14ac:dyDescent="0.25">
      <c r="A35" s="69" t="s">
        <v>44</v>
      </c>
      <c r="B35" s="70">
        <v>18768.017527168191</v>
      </c>
      <c r="C35" s="70">
        <v>21441.220905669365</v>
      </c>
      <c r="D35" s="71">
        <v>18149</v>
      </c>
      <c r="E35" s="71">
        <v>19288</v>
      </c>
      <c r="F35" s="71">
        <v>25413</v>
      </c>
      <c r="G35" s="72">
        <f t="shared" si="2"/>
        <v>0.40024243759986777</v>
      </c>
      <c r="H35" s="73">
        <f t="shared" si="3"/>
        <v>4.7781623214786528E-5</v>
      </c>
      <c r="L35" s="102" t="s">
        <v>90</v>
      </c>
      <c r="M35" s="103">
        <v>1242576.2040000001</v>
      </c>
      <c r="N35" s="103">
        <v>1545896.7960000001</v>
      </c>
      <c r="O35" s="103">
        <v>4229120.2240000004</v>
      </c>
      <c r="P35" s="103">
        <v>6356945.6720000012</v>
      </c>
      <c r="Q35" s="103">
        <v>8106366.5609999979</v>
      </c>
    </row>
    <row r="36" spans="1:17" x14ac:dyDescent="0.25">
      <c r="A36" s="69" t="s">
        <v>45</v>
      </c>
      <c r="B36" s="70">
        <v>1487882.6986539494</v>
      </c>
      <c r="C36" s="70">
        <v>1699807.7488675674</v>
      </c>
      <c r="D36" s="71">
        <v>1601839</v>
      </c>
      <c r="E36" s="71">
        <v>1655290</v>
      </c>
      <c r="F36" s="71">
        <v>1709625</v>
      </c>
      <c r="G36" s="72">
        <f t="shared" si="2"/>
        <v>6.728890980928795E-2</v>
      </c>
      <c r="H36" s="73">
        <f t="shared" si="3"/>
        <v>3.2144436937228751E-3</v>
      </c>
      <c r="L36" s="102" t="s">
        <v>89</v>
      </c>
      <c r="M36" s="103">
        <v>1105991</v>
      </c>
      <c r="N36" s="103">
        <v>1397393</v>
      </c>
      <c r="O36" s="103">
        <v>2848596.98</v>
      </c>
      <c r="P36" s="103">
        <v>3162259</v>
      </c>
      <c r="Q36" s="103">
        <v>3988900</v>
      </c>
    </row>
    <row r="37" spans="1:17" x14ac:dyDescent="0.25">
      <c r="A37" s="69" t="s">
        <v>46</v>
      </c>
      <c r="B37" s="70" t="s">
        <v>17</v>
      </c>
      <c r="C37" s="70" t="s">
        <v>17</v>
      </c>
      <c r="D37" s="71" t="s">
        <v>17</v>
      </c>
      <c r="E37" s="71" t="s">
        <v>17</v>
      </c>
      <c r="F37" s="71" t="s">
        <v>17</v>
      </c>
      <c r="G37" s="75" t="s">
        <v>17</v>
      </c>
      <c r="H37" s="73" t="s">
        <v>17</v>
      </c>
    </row>
    <row r="38" spans="1:17" x14ac:dyDescent="0.25">
      <c r="A38" s="69" t="s">
        <v>47</v>
      </c>
      <c r="B38" s="70">
        <v>2290066.1080100513</v>
      </c>
      <c r="C38" s="70">
        <v>2616249.3315743776</v>
      </c>
      <c r="D38" s="71">
        <v>2687074</v>
      </c>
      <c r="E38" s="71">
        <v>2531044</v>
      </c>
      <c r="F38" s="71">
        <v>2410986</v>
      </c>
      <c r="G38" s="76">
        <f t="shared" si="2"/>
        <v>-0.10274670515214691</v>
      </c>
      <c r="H38" s="73">
        <f t="shared" si="3"/>
        <v>4.533145422741326E-3</v>
      </c>
    </row>
    <row r="39" spans="1:17" x14ac:dyDescent="0.25">
      <c r="A39" s="69" t="s">
        <v>48</v>
      </c>
      <c r="B39" s="70">
        <v>317318.69464605086</v>
      </c>
      <c r="C39" s="70">
        <v>362515.65832969436</v>
      </c>
      <c r="D39" s="71">
        <v>293100</v>
      </c>
      <c r="E39" s="71">
        <v>352960</v>
      </c>
      <c r="F39" s="71">
        <v>416695</v>
      </c>
      <c r="G39" s="72">
        <f t="shared" si="2"/>
        <v>0.42168201978846809</v>
      </c>
      <c r="H39" s="73">
        <f t="shared" si="3"/>
        <v>7.8347158877289079E-4</v>
      </c>
    </row>
    <row r="40" spans="1:17" x14ac:dyDescent="0.25">
      <c r="A40" s="69" t="s">
        <v>49</v>
      </c>
      <c r="B40" s="70">
        <v>354796.22910748562</v>
      </c>
      <c r="C40" s="70">
        <v>405331.26707602234</v>
      </c>
      <c r="D40" s="71">
        <v>376801</v>
      </c>
      <c r="E40" s="71">
        <v>398326</v>
      </c>
      <c r="F40" s="71">
        <v>409487</v>
      </c>
      <c r="G40" s="72">
        <f t="shared" si="2"/>
        <v>8.6746054283295432E-2</v>
      </c>
      <c r="H40" s="73">
        <f t="shared" si="3"/>
        <v>7.699190786350802E-4</v>
      </c>
    </row>
    <row r="41" spans="1:17" x14ac:dyDescent="0.25">
      <c r="A41" s="69" t="s">
        <v>50</v>
      </c>
      <c r="B41" s="70">
        <v>65044.24906017357</v>
      </c>
      <c r="C41" s="70">
        <v>74308.760140687416</v>
      </c>
      <c r="D41" s="71">
        <v>69661</v>
      </c>
      <c r="E41" s="71">
        <v>70595</v>
      </c>
      <c r="F41" s="71">
        <v>76954</v>
      </c>
      <c r="G41" s="72">
        <f t="shared" si="2"/>
        <v>0.10469272620260978</v>
      </c>
      <c r="H41" s="73">
        <f t="shared" si="3"/>
        <v>1.4468921547517737E-4</v>
      </c>
    </row>
    <row r="42" spans="1:17" x14ac:dyDescent="0.25">
      <c r="A42" s="69" t="s">
        <v>51</v>
      </c>
      <c r="B42" s="70">
        <v>5357584.3373264233</v>
      </c>
      <c r="C42" s="70">
        <v>6120686.3820902808</v>
      </c>
      <c r="D42" s="71">
        <v>4997431</v>
      </c>
      <c r="E42" s="71">
        <v>6196638</v>
      </c>
      <c r="F42" s="71">
        <v>6710906</v>
      </c>
      <c r="G42" s="72">
        <f t="shared" si="2"/>
        <v>0.34287116720571031</v>
      </c>
      <c r="H42" s="73">
        <f t="shared" si="3"/>
        <v>1.2617872030923159E-2</v>
      </c>
    </row>
    <row r="43" spans="1:17" x14ac:dyDescent="0.25">
      <c r="A43" s="69" t="s">
        <v>52</v>
      </c>
      <c r="B43" s="70">
        <v>1637192.3554560021</v>
      </c>
      <c r="C43" s="70">
        <v>1870384.1739059729</v>
      </c>
      <c r="D43" s="71">
        <v>1756988</v>
      </c>
      <c r="E43" s="71">
        <v>1856516</v>
      </c>
      <c r="F43" s="71">
        <v>1850934</v>
      </c>
      <c r="G43" s="72">
        <f t="shared" si="2"/>
        <v>5.3469915560037974E-2</v>
      </c>
      <c r="H43" s="73">
        <f t="shared" si="3"/>
        <v>3.4801334349914489E-3</v>
      </c>
    </row>
    <row r="44" spans="1:17" x14ac:dyDescent="0.25">
      <c r="A44" s="64" t="s">
        <v>53</v>
      </c>
      <c r="B44" s="66">
        <f>SUM(B45:B50)</f>
        <v>7793639.3240870815</v>
      </c>
      <c r="C44" s="66">
        <f>SUM(C45:C50)</f>
        <v>8903718.3690267168</v>
      </c>
      <c r="D44" s="66">
        <f>SUM(D45:D50)</f>
        <v>11604262</v>
      </c>
      <c r="E44" s="66">
        <f>SUM(E45:E50)</f>
        <v>6951303</v>
      </c>
      <c r="F44" s="66">
        <f>SUM(F45:F50)</f>
        <v>7283064</v>
      </c>
      <c r="G44" s="77">
        <f t="shared" si="2"/>
        <v>-0.37238025132490116</v>
      </c>
      <c r="H44" s="68">
        <f t="shared" si="3"/>
        <v>1.3693645767802937E-2</v>
      </c>
    </row>
    <row r="45" spans="1:17" x14ac:dyDescent="0.25">
      <c r="A45" s="69" t="s">
        <v>54</v>
      </c>
      <c r="B45" s="70">
        <v>3449684.3899299647</v>
      </c>
      <c r="C45" s="70">
        <v>3941036.6572951451</v>
      </c>
      <c r="D45" s="71">
        <v>6974949</v>
      </c>
      <c r="E45" s="71">
        <v>2209203</v>
      </c>
      <c r="F45" s="71">
        <v>2148783</v>
      </c>
      <c r="G45" s="21">
        <f t="shared" si="2"/>
        <v>-0.69192850012236651</v>
      </c>
      <c r="H45" s="73">
        <f t="shared" si="3"/>
        <v>4.0401503040309542E-3</v>
      </c>
    </row>
    <row r="46" spans="1:17" x14ac:dyDescent="0.25">
      <c r="A46" s="69" t="s">
        <v>55</v>
      </c>
      <c r="B46" s="70" t="s">
        <v>17</v>
      </c>
      <c r="C46" s="70" t="s">
        <v>17</v>
      </c>
      <c r="D46" s="71" t="s">
        <v>17</v>
      </c>
      <c r="E46" s="71" t="s">
        <v>17</v>
      </c>
      <c r="F46" s="71" t="s">
        <v>17</v>
      </c>
      <c r="G46" s="12" t="s">
        <v>17</v>
      </c>
      <c r="H46" s="73" t="s">
        <v>17</v>
      </c>
    </row>
    <row r="47" spans="1:17" x14ac:dyDescent="0.25">
      <c r="A47" s="69" t="s">
        <v>56</v>
      </c>
      <c r="B47" s="70">
        <v>23841.22070735892</v>
      </c>
      <c r="C47" s="70">
        <v>27237.020591403478</v>
      </c>
      <c r="D47" s="71">
        <v>26664</v>
      </c>
      <c r="E47" s="71">
        <v>26348</v>
      </c>
      <c r="F47" s="71">
        <v>26507</v>
      </c>
      <c r="G47" s="21">
        <f t="shared" si="2"/>
        <v>-5.8880888088808881E-3</v>
      </c>
      <c r="H47" s="73">
        <f t="shared" si="3"/>
        <v>4.9838566346135699E-5</v>
      </c>
    </row>
    <row r="48" spans="1:17" x14ac:dyDescent="0.25">
      <c r="A48" s="69" t="s">
        <v>57</v>
      </c>
      <c r="B48" s="70" t="s">
        <v>17</v>
      </c>
      <c r="C48" s="70" t="s">
        <v>17</v>
      </c>
      <c r="D48" s="71" t="s">
        <v>17</v>
      </c>
      <c r="E48" s="71" t="s">
        <v>17</v>
      </c>
      <c r="F48" s="71" t="s">
        <v>17</v>
      </c>
      <c r="G48" s="12" t="s">
        <v>17</v>
      </c>
      <c r="H48" s="73" t="s">
        <v>17</v>
      </c>
    </row>
    <row r="49" spans="1:8" x14ac:dyDescent="0.25">
      <c r="A49" s="69" t="s">
        <v>58</v>
      </c>
      <c r="B49" s="70">
        <v>1183.0615058588446</v>
      </c>
      <c r="C49" s="70">
        <v>1351.5696612811466</v>
      </c>
      <c r="D49" s="71" t="s">
        <v>17</v>
      </c>
      <c r="E49" s="71">
        <v>663</v>
      </c>
      <c r="F49" s="71">
        <v>2038</v>
      </c>
      <c r="G49" s="12" t="s">
        <v>17</v>
      </c>
      <c r="H49" s="73" t="s">
        <v>17</v>
      </c>
    </row>
    <row r="50" spans="1:8" x14ac:dyDescent="0.25">
      <c r="A50" s="69" t="s">
        <v>59</v>
      </c>
      <c r="B50" s="70">
        <v>4318930.6519438997</v>
      </c>
      <c r="C50" s="70">
        <v>4934093.1214788873</v>
      </c>
      <c r="D50" s="71">
        <v>4602649</v>
      </c>
      <c r="E50" s="71">
        <v>4715089</v>
      </c>
      <c r="F50" s="71">
        <v>5105736</v>
      </c>
      <c r="G50" s="27">
        <f t="shared" si="2"/>
        <v>0.10930379440187596</v>
      </c>
      <c r="H50" s="73">
        <f t="shared" si="3"/>
        <v>9.599825041757026E-3</v>
      </c>
    </row>
    <row r="51" spans="1:8" x14ac:dyDescent="0.25">
      <c r="A51" s="64" t="s">
        <v>60</v>
      </c>
      <c r="B51" s="66">
        <f>SUM(B52:B56)</f>
        <v>442332657.50176919</v>
      </c>
      <c r="C51" s="66">
        <f>SUM(C52:C56)</f>
        <v>505335857.10681272</v>
      </c>
      <c r="D51" s="66">
        <f>SUM(D52:D56)</f>
        <v>471832268.5</v>
      </c>
      <c r="E51" s="66">
        <f>SUM(E52:E56)</f>
        <v>494505338.02999997</v>
      </c>
      <c r="F51" s="66">
        <f>SUM(F52:F56)</f>
        <v>510272010</v>
      </c>
      <c r="G51" s="67">
        <f t="shared" si="2"/>
        <v>8.1469081422098619E-2</v>
      </c>
      <c r="H51" s="68">
        <f t="shared" si="3"/>
        <v>0.95941545346365187</v>
      </c>
    </row>
    <row r="52" spans="1:8" x14ac:dyDescent="0.25">
      <c r="A52" s="69" t="s">
        <v>61</v>
      </c>
      <c r="B52" s="70">
        <v>121690.73627733246</v>
      </c>
      <c r="C52" s="70">
        <v>139023.63182039963</v>
      </c>
      <c r="D52" s="71">
        <v>121294</v>
      </c>
      <c r="E52" s="71">
        <v>119800</v>
      </c>
      <c r="F52" s="71">
        <v>166331</v>
      </c>
      <c r="G52" s="27">
        <f t="shared" si="2"/>
        <v>0.371304433854931</v>
      </c>
      <c r="H52" s="73">
        <f t="shared" si="3"/>
        <v>3.1273620473531885E-4</v>
      </c>
    </row>
    <row r="53" spans="1:8" x14ac:dyDescent="0.25">
      <c r="A53" s="69" t="s">
        <v>62</v>
      </c>
      <c r="B53" s="70">
        <v>80486.031444878463</v>
      </c>
      <c r="C53" s="70">
        <v>91949.977003813823</v>
      </c>
      <c r="D53" s="71">
        <v>77543</v>
      </c>
      <c r="E53" s="71">
        <v>98518</v>
      </c>
      <c r="F53" s="71">
        <v>92979</v>
      </c>
      <c r="G53" s="27">
        <f t="shared" si="2"/>
        <v>0.19906374527681414</v>
      </c>
      <c r="H53" s="73">
        <f t="shared" si="3"/>
        <v>1.7481948392112842E-4</v>
      </c>
    </row>
    <row r="54" spans="1:8" x14ac:dyDescent="0.25">
      <c r="A54" s="78" t="s">
        <v>63</v>
      </c>
      <c r="B54" s="70">
        <v>276082870.5156489</v>
      </c>
      <c r="C54" s="70">
        <v>315406451.76978958</v>
      </c>
      <c r="D54" s="71">
        <v>295332462</v>
      </c>
      <c r="E54" s="71">
        <v>309129716</v>
      </c>
      <c r="F54" s="71">
        <v>317063103</v>
      </c>
      <c r="G54" s="27">
        <f t="shared" si="2"/>
        <v>7.3580265619429264E-2</v>
      </c>
      <c r="H54" s="79">
        <f t="shared" si="3"/>
        <v>0.59614330157230755</v>
      </c>
    </row>
    <row r="55" spans="1:8" x14ac:dyDescent="0.25">
      <c r="A55" s="78" t="s">
        <v>64</v>
      </c>
      <c r="B55" s="70">
        <v>145089954.13699681</v>
      </c>
      <c r="C55" s="70">
        <v>165755693.34062603</v>
      </c>
      <c r="D55" s="71">
        <v>152795331</v>
      </c>
      <c r="E55" s="71">
        <v>161885488</v>
      </c>
      <c r="F55" s="71">
        <v>169834152</v>
      </c>
      <c r="G55" s="27">
        <f t="shared" si="2"/>
        <v>0.1115140160925467</v>
      </c>
      <c r="H55" s="79">
        <f t="shared" si="3"/>
        <v>0.31932284499534824</v>
      </c>
    </row>
    <row r="56" spans="1:8" x14ac:dyDescent="0.25">
      <c r="A56" s="69" t="s">
        <v>65</v>
      </c>
      <c r="B56" s="70">
        <v>20957656.081401315</v>
      </c>
      <c r="C56" s="70">
        <v>23942738.387572881</v>
      </c>
      <c r="D56" s="71">
        <v>23505638.5</v>
      </c>
      <c r="E56" s="71">
        <v>23271816.030000001</v>
      </c>
      <c r="F56" s="71">
        <v>23115445</v>
      </c>
      <c r="G56" s="21">
        <f t="shared" si="2"/>
        <v>-1.6599995783990296E-2</v>
      </c>
      <c r="H56" s="73">
        <f t="shared" si="3"/>
        <v>4.3461751207339597E-2</v>
      </c>
    </row>
    <row r="58" spans="1:8" x14ac:dyDescent="0.25">
      <c r="A58" s="80" t="s">
        <v>66</v>
      </c>
      <c r="B58" s="81">
        <v>3865849.6369674145</v>
      </c>
      <c r="C58" s="81">
        <v>4416477.9755950421</v>
      </c>
      <c r="D58" s="82">
        <v>1576341</v>
      </c>
      <c r="E58" s="82">
        <v>2191583</v>
      </c>
      <c r="F58" s="82">
        <v>9461153</v>
      </c>
      <c r="G58" s="82"/>
      <c r="H58" s="82"/>
    </row>
    <row r="59" spans="1:8" x14ac:dyDescent="0.25">
      <c r="A59" s="83" t="s">
        <v>67</v>
      </c>
      <c r="B59" s="84">
        <v>167151</v>
      </c>
      <c r="C59" s="84">
        <v>237172</v>
      </c>
      <c r="D59" s="84">
        <v>270740</v>
      </c>
      <c r="E59" s="84">
        <v>262020</v>
      </c>
      <c r="F59" s="84">
        <v>365730</v>
      </c>
    </row>
    <row r="60" spans="1:8" x14ac:dyDescent="0.25">
      <c r="A60" s="83" t="s">
        <v>68</v>
      </c>
      <c r="B60" s="84">
        <v>394371</v>
      </c>
      <c r="C60" s="84">
        <v>434015</v>
      </c>
      <c r="D60" s="84">
        <v>496806</v>
      </c>
      <c r="E60" s="84">
        <v>444372</v>
      </c>
      <c r="F60" s="84">
        <v>454456</v>
      </c>
    </row>
  </sheetData>
  <phoneticPr fontId="2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A171E-315E-42DC-BA7C-45B8ED1098C6}">
  <sheetPr>
    <tabColor rgb="FF92D050"/>
  </sheetPr>
  <dimension ref="A1:L70"/>
  <sheetViews>
    <sheetView tabSelected="1" zoomScaleNormal="100" workbookViewId="0">
      <selection activeCell="H3" sqref="H3"/>
    </sheetView>
  </sheetViews>
  <sheetFormatPr defaultColWidth="9.140625" defaultRowHeight="15" x14ac:dyDescent="0.25"/>
  <cols>
    <col min="1" max="1" width="50.42578125" style="130" bestFit="1" customWidth="1"/>
    <col min="2" max="2" width="17.140625" style="130" bestFit="1" customWidth="1"/>
    <col min="3" max="3" width="13" style="130" bestFit="1" customWidth="1"/>
    <col min="4" max="6" width="12.7109375" style="130" bestFit="1" customWidth="1"/>
    <col min="7" max="7" width="19.5703125" style="130" bestFit="1" customWidth="1"/>
    <col min="8" max="8" width="20.140625" style="130" bestFit="1" customWidth="1"/>
    <col min="9" max="10" width="9.140625" style="130"/>
    <col min="11" max="11" width="8.5703125" style="130" customWidth="1"/>
    <col min="12" max="16384" width="9.140625" style="130"/>
  </cols>
  <sheetData>
    <row r="1" spans="1:9" ht="23.25" x14ac:dyDescent="0.35">
      <c r="A1" s="1" t="s">
        <v>0</v>
      </c>
      <c r="H1" s="2"/>
    </row>
    <row r="2" spans="1:9" ht="14.25" customHeight="1" x14ac:dyDescent="0.35">
      <c r="A2" s="1"/>
      <c r="H2" s="2"/>
    </row>
    <row r="3" spans="1:9" ht="18.75" x14ac:dyDescent="0.3">
      <c r="A3" s="3" t="s">
        <v>79</v>
      </c>
      <c r="F3" s="4"/>
      <c r="G3" s="46"/>
      <c r="H3" s="301">
        <f>F7/F12</f>
        <v>0.16647109080153805</v>
      </c>
    </row>
    <row r="4" spans="1:9" ht="19.5" thickBot="1" x14ac:dyDescent="0.35">
      <c r="A4" s="96" t="s">
        <v>78</v>
      </c>
      <c r="B4" s="95">
        <v>2021</v>
      </c>
      <c r="C4" s="95">
        <v>2022</v>
      </c>
      <c r="D4" s="95">
        <v>2023</v>
      </c>
      <c r="E4" s="95">
        <v>2024</v>
      </c>
      <c r="F4" s="95">
        <v>2025</v>
      </c>
      <c r="G4" s="5" t="s">
        <v>1</v>
      </c>
      <c r="H4" s="5" t="s">
        <v>2</v>
      </c>
    </row>
    <row r="5" spans="1:9" x14ac:dyDescent="0.25">
      <c r="A5" s="274" t="s">
        <v>3</v>
      </c>
      <c r="B5" s="265">
        <f>B6+B7+B8</f>
        <v>100619070.97258212</v>
      </c>
      <c r="C5" s="265">
        <f>C6+C7+C8</f>
        <v>95995662.509452701</v>
      </c>
      <c r="D5" s="265">
        <f>D6+D7+D8</f>
        <v>102081730.30904037</v>
      </c>
      <c r="E5" s="265">
        <f>E6+E7+E8</f>
        <v>127211469.46475835</v>
      </c>
      <c r="F5" s="265">
        <f>F6+F7+F8</f>
        <v>129952735.91202416</v>
      </c>
      <c r="G5" s="9">
        <f>(F5-B5)/B5</f>
        <v>0.29153186027164996</v>
      </c>
      <c r="H5" s="10">
        <f>F5/$F$12</f>
        <v>0.93681767479400413</v>
      </c>
      <c r="I5" s="46"/>
    </row>
    <row r="6" spans="1:9" x14ac:dyDescent="0.25">
      <c r="A6" s="275" t="s">
        <v>4</v>
      </c>
      <c r="B6" s="266">
        <v>80286607.755102038</v>
      </c>
      <c r="C6" s="266">
        <v>69613704.081632659</v>
      </c>
      <c r="D6" s="266">
        <v>71889997.551020399</v>
      </c>
      <c r="E6" s="266">
        <v>92359314.795918375</v>
      </c>
      <c r="F6" s="266">
        <v>88708305.510204077</v>
      </c>
      <c r="G6" s="13">
        <f t="shared" ref="G6:G13" si="0">(F6-B6)/B6</f>
        <v>0.10489542391416902</v>
      </c>
      <c r="H6" s="14">
        <f>F6/$F$5</f>
        <v>0.68261976085103837</v>
      </c>
      <c r="I6" s="15" t="s">
        <v>135</v>
      </c>
    </row>
    <row r="7" spans="1:9" x14ac:dyDescent="0.25">
      <c r="A7" s="276" t="s">
        <v>6</v>
      </c>
      <c r="B7" s="267">
        <v>1865538.3670000001</v>
      </c>
      <c r="C7" s="266">
        <v>6307984</v>
      </c>
      <c r="D7" s="266">
        <v>12215537</v>
      </c>
      <c r="E7" s="266">
        <v>17414020.651999999</v>
      </c>
      <c r="F7" s="267">
        <v>23092405.579</v>
      </c>
      <c r="G7" s="13">
        <f>(F7-B7)/B7</f>
        <v>11.378413645887777</v>
      </c>
      <c r="H7" s="14">
        <f>F7/$F$5</f>
        <v>0.17769849489458364</v>
      </c>
      <c r="I7" s="130" t="s">
        <v>7</v>
      </c>
    </row>
    <row r="8" spans="1:9" x14ac:dyDescent="0.25">
      <c r="A8" s="277" t="s">
        <v>8</v>
      </c>
      <c r="B8" s="268">
        <v>18466924.850480083</v>
      </c>
      <c r="C8" s="268">
        <v>20073974.427820042</v>
      </c>
      <c r="D8" s="268">
        <v>17976195.758019969</v>
      </c>
      <c r="E8" s="268">
        <v>17438134.016839977</v>
      </c>
      <c r="F8" s="268">
        <v>18152024.822820082</v>
      </c>
      <c r="G8" s="21">
        <f t="shared" si="0"/>
        <v>-1.7052109661442341E-2</v>
      </c>
      <c r="H8" s="14">
        <f>F8/$F$5</f>
        <v>0.13968174425437802</v>
      </c>
      <c r="I8" s="130" t="s">
        <v>9</v>
      </c>
    </row>
    <row r="9" spans="1:9" x14ac:dyDescent="0.25">
      <c r="A9" s="274" t="s">
        <v>10</v>
      </c>
      <c r="B9" s="265">
        <f>B10+B11</f>
        <v>10278412.927553762</v>
      </c>
      <c r="C9" s="265">
        <f>C10+C11</f>
        <v>9080920.5813039858</v>
      </c>
      <c r="D9" s="265">
        <f>D10+D11</f>
        <v>11933606.483204607</v>
      </c>
      <c r="E9" s="265">
        <f>E10+E11</f>
        <v>11054581.478885971</v>
      </c>
      <c r="F9" s="265">
        <f>F10+F11</f>
        <v>8764475.9943367317</v>
      </c>
      <c r="G9" s="22">
        <f>(F9-B9)/B9</f>
        <v>-0.14729286942330924</v>
      </c>
      <c r="H9" s="10">
        <f>F9/$F$12</f>
        <v>6.3182325205995843E-2</v>
      </c>
    </row>
    <row r="10" spans="1:9" x14ac:dyDescent="0.25">
      <c r="A10" s="275" t="s">
        <v>11</v>
      </c>
      <c r="B10" s="267">
        <v>7065454.1780337477</v>
      </c>
      <c r="C10" s="267">
        <v>5588360.1091239769</v>
      </c>
      <c r="D10" s="267">
        <v>8688936.0412246138</v>
      </c>
      <c r="E10" s="267">
        <v>7804455.8957259776</v>
      </c>
      <c r="F10" s="267">
        <v>5360836.6171567142</v>
      </c>
      <c r="G10" s="23">
        <f t="shared" si="0"/>
        <v>-0.24126086135787711</v>
      </c>
      <c r="H10" s="24">
        <f>F10/$F$9</f>
        <v>0.61165512012591294</v>
      </c>
      <c r="I10" s="130" t="s">
        <v>12</v>
      </c>
    </row>
    <row r="11" spans="1:9" x14ac:dyDescent="0.25">
      <c r="A11" s="278" t="s">
        <v>13</v>
      </c>
      <c r="B11" s="269">
        <v>3212958.749520015</v>
      </c>
      <c r="C11" s="269">
        <v>3492560.4721800089</v>
      </c>
      <c r="D11" s="269">
        <v>3244670.4419799931</v>
      </c>
      <c r="E11" s="269">
        <v>3250125.5831599943</v>
      </c>
      <c r="F11" s="269">
        <v>3403639.3771800175</v>
      </c>
      <c r="G11" s="27">
        <f t="shared" si="0"/>
        <v>5.9347362517022169E-2</v>
      </c>
      <c r="H11" s="28">
        <f>F11/$F$9</f>
        <v>0.388344879874087</v>
      </c>
      <c r="I11" s="130" t="s">
        <v>14</v>
      </c>
    </row>
    <row r="12" spans="1:9" x14ac:dyDescent="0.25">
      <c r="A12" s="279" t="s">
        <v>15</v>
      </c>
      <c r="B12" s="270">
        <f>B5+B9</f>
        <v>110897483.90013587</v>
      </c>
      <c r="C12" s="270">
        <f>C5+C9</f>
        <v>105076583.09075668</v>
      </c>
      <c r="D12" s="270">
        <f>D5+D9</f>
        <v>114015336.79224497</v>
      </c>
      <c r="E12" s="270">
        <f>E5+E9</f>
        <v>138266050.94364432</v>
      </c>
      <c r="F12" s="270">
        <f>F5+F9</f>
        <v>138717211.90636089</v>
      </c>
      <c r="G12" s="31">
        <f t="shared" si="0"/>
        <v>0.25085986649865671</v>
      </c>
      <c r="H12" s="32">
        <f>F12/$F$19</f>
        <v>0.24078027027823609</v>
      </c>
    </row>
    <row r="13" spans="1:9" x14ac:dyDescent="0.25">
      <c r="A13" s="280" t="s">
        <v>16</v>
      </c>
      <c r="B13" s="271">
        <f>B12-B16</f>
        <v>6192199.0621357858</v>
      </c>
      <c r="C13" s="271">
        <f>C12-C16</f>
        <v>6884340.2657566816</v>
      </c>
      <c r="D13" s="271">
        <f>D12-D16</f>
        <v>8451210.686244905</v>
      </c>
      <c r="E13" s="271">
        <f>E12-E16</f>
        <v>11466399.911644191</v>
      </c>
      <c r="F13" s="271">
        <f>F12-F16</f>
        <v>13019692.678360984</v>
      </c>
      <c r="G13" s="35">
        <f t="shared" si="0"/>
        <v>1.1025959514083012</v>
      </c>
      <c r="H13" s="36" t="s">
        <v>17</v>
      </c>
      <c r="I13" s="130" t="s">
        <v>18</v>
      </c>
    </row>
    <row r="14" spans="1:9" x14ac:dyDescent="0.25">
      <c r="A14" s="280" t="s">
        <v>19</v>
      </c>
      <c r="B14" s="271">
        <f>B13-B15</f>
        <v>5841152.0621357858</v>
      </c>
      <c r="C14" s="271">
        <f>C13-C15</f>
        <v>5728808.2657566816</v>
      </c>
      <c r="D14" s="271">
        <f>D13-D15</f>
        <v>5587024.2062449045</v>
      </c>
      <c r="E14" s="271">
        <f>E13-E15</f>
        <v>6062351.4996441919</v>
      </c>
      <c r="F14" s="271">
        <f>F13-F15</f>
        <v>5943744.4903609827</v>
      </c>
      <c r="G14" s="35"/>
      <c r="H14" s="36"/>
    </row>
    <row r="15" spans="1:9" x14ac:dyDescent="0.25">
      <c r="A15" s="123" t="s">
        <v>20</v>
      </c>
      <c r="B15" s="272">
        <v>351047</v>
      </c>
      <c r="C15" s="272">
        <v>1155532</v>
      </c>
      <c r="D15" s="272">
        <v>2864186.4800000004</v>
      </c>
      <c r="E15" s="272">
        <v>5404048.4119999986</v>
      </c>
      <c r="F15" s="272">
        <v>7075948.188000001</v>
      </c>
      <c r="G15" s="38">
        <f>(F15-B15)/B15</f>
        <v>19.15669750204389</v>
      </c>
      <c r="H15" s="39">
        <f>E15/E7</f>
        <v>0.31032743787284667</v>
      </c>
      <c r="I15" s="130" t="s">
        <v>21</v>
      </c>
    </row>
    <row r="16" spans="1:9" x14ac:dyDescent="0.25">
      <c r="A16" s="280" t="s">
        <v>22</v>
      </c>
      <c r="B16" s="270">
        <v>104705284.83800009</v>
      </c>
      <c r="C16" s="270">
        <v>98192242.825000003</v>
      </c>
      <c r="D16" s="270">
        <v>105564126.10600007</v>
      </c>
      <c r="E16" s="270">
        <v>126799651.03200012</v>
      </c>
      <c r="F16" s="270">
        <v>125697519.22799991</v>
      </c>
      <c r="G16" s="35">
        <f>(F16-B16)/B16</f>
        <v>0.20048877592452938</v>
      </c>
      <c r="H16" s="36" t="s">
        <v>17</v>
      </c>
      <c r="I16" s="130" t="s">
        <v>218</v>
      </c>
    </row>
    <row r="17" spans="1:9" x14ac:dyDescent="0.25">
      <c r="A17" s="274" t="s">
        <v>23</v>
      </c>
      <c r="B17" s="265">
        <v>426887150</v>
      </c>
      <c r="C17" s="265">
        <v>461422530</v>
      </c>
      <c r="D17" s="265">
        <v>445409760</v>
      </c>
      <c r="E17" s="265">
        <v>434152940</v>
      </c>
      <c r="F17" s="265">
        <v>450527770</v>
      </c>
      <c r="G17" s="9">
        <f>(F17-B17)/F17</f>
        <v>5.2473169411954339E-2</v>
      </c>
      <c r="H17" s="40">
        <f>(F17+F18)/$F$19</f>
        <v>0.78181883677526698</v>
      </c>
      <c r="I17" s="130" t="s">
        <v>24</v>
      </c>
    </row>
    <row r="18" spans="1:9" x14ac:dyDescent="0.25">
      <c r="A18" s="279" t="s">
        <v>25</v>
      </c>
      <c r="B18" s="265">
        <v>-20700</v>
      </c>
      <c r="C18" s="265">
        <v>-30880</v>
      </c>
      <c r="D18" s="265">
        <v>-29660</v>
      </c>
      <c r="E18" s="265">
        <v>-27370</v>
      </c>
      <c r="F18" s="265">
        <v>-109930</v>
      </c>
      <c r="G18" s="31" t="s">
        <v>17</v>
      </c>
      <c r="H18" s="41" t="s">
        <v>17</v>
      </c>
      <c r="I18" s="15" t="s">
        <v>26</v>
      </c>
    </row>
    <row r="19" spans="1:9" x14ac:dyDescent="0.25">
      <c r="A19" s="281" t="s">
        <v>27</v>
      </c>
      <c r="B19" s="273">
        <f>B16+B17+B18</f>
        <v>531571734.83800006</v>
      </c>
      <c r="C19" s="273">
        <f>C16+C17+C18</f>
        <v>559583892.82500005</v>
      </c>
      <c r="D19" s="273">
        <f t="shared" ref="D19:F19" si="1">D16+D17+D18</f>
        <v>550944226.10600007</v>
      </c>
      <c r="E19" s="273">
        <f>E16+E17+E18</f>
        <v>560925221.03200006</v>
      </c>
      <c r="F19" s="273">
        <f t="shared" si="1"/>
        <v>576115359.22799993</v>
      </c>
      <c r="G19" s="44">
        <f>(F19-B19)/F19</f>
        <v>7.7317196419982179E-2</v>
      </c>
      <c r="H19" s="45" t="s">
        <v>17</v>
      </c>
      <c r="I19" s="130" t="s">
        <v>28</v>
      </c>
    </row>
    <row r="20" spans="1:9" x14ac:dyDescent="0.25">
      <c r="B20" s="237">
        <f>B12+B17+B18</f>
        <v>537763933.90013587</v>
      </c>
      <c r="C20" s="46"/>
      <c r="D20" s="46"/>
      <c r="E20" s="46"/>
      <c r="F20" s="46"/>
      <c r="G20" s="254"/>
    </row>
    <row r="21" spans="1:9" x14ac:dyDescent="0.25">
      <c r="A21" s="99"/>
      <c r="B21" s="238">
        <f>B20-B19</f>
        <v>6192199.0621358156</v>
      </c>
      <c r="F21" s="253"/>
    </row>
    <row r="22" spans="1:9" x14ac:dyDescent="0.25">
      <c r="A22" s="48" t="s">
        <v>30</v>
      </c>
      <c r="B22" s="49">
        <f>B15/B12</f>
        <v>3.1655091500193168E-3</v>
      </c>
      <c r="C22" s="49">
        <f>C15/C12</f>
        <v>1.0997045830867422E-2</v>
      </c>
      <c r="D22" s="49">
        <f>D15/D12</f>
        <v>2.5121063188358841E-2</v>
      </c>
      <c r="E22" s="49">
        <f>E15/E12</f>
        <v>3.9084420037443814E-2</v>
      </c>
      <c r="F22" s="49">
        <f>F15/F12</f>
        <v>5.1009878952703577E-2</v>
      </c>
      <c r="G22" s="27">
        <f>(F22-B22)/B22</f>
        <v>15.114273102762096</v>
      </c>
      <c r="H22" s="28"/>
    </row>
    <row r="23" spans="1:9" x14ac:dyDescent="0.25">
      <c r="A23" s="48" t="s">
        <v>31</v>
      </c>
      <c r="B23" s="49">
        <f>B15/B7</f>
        <v>0.18817463430919618</v>
      </c>
      <c r="C23" s="49">
        <f>C15/C7</f>
        <v>0.1831856263427428</v>
      </c>
      <c r="D23" s="49">
        <f>D15/D7</f>
        <v>0.23447077930343957</v>
      </c>
      <c r="E23" s="49">
        <f>E15/E7</f>
        <v>0.31032743787284667</v>
      </c>
      <c r="F23" s="49">
        <f>F15/F7</f>
        <v>0.3064188424975004</v>
      </c>
      <c r="G23" s="27"/>
    </row>
    <row r="24" spans="1:9" x14ac:dyDescent="0.25">
      <c r="A24" s="48"/>
      <c r="B24" s="49"/>
      <c r="C24" s="49"/>
      <c r="D24" s="49"/>
      <c r="E24" s="49"/>
      <c r="F24" s="49"/>
      <c r="G24" s="52"/>
    </row>
    <row r="25" spans="1:9" x14ac:dyDescent="0.25">
      <c r="A25" s="282" t="s">
        <v>32</v>
      </c>
      <c r="B25" s="283">
        <f>B19-(B32+B61+B15)</f>
        <v>60055570.638000071</v>
      </c>
      <c r="C25" s="283">
        <f>C19-(C32+C61+C15)</f>
        <v>59949989.325000048</v>
      </c>
      <c r="D25" s="283">
        <f>D19-(D32+D61+D15)</f>
        <v>50638791.126000047</v>
      </c>
      <c r="E25" s="283">
        <f>E19-(E32+E61+E15)</f>
        <v>38132008.590000093</v>
      </c>
      <c r="F25" s="283">
        <f>F19-(F32+F61+F15)</f>
        <v>27715261.039999962</v>
      </c>
      <c r="G25" s="283" t="s">
        <v>17</v>
      </c>
      <c r="H25" s="283" t="s">
        <v>17</v>
      </c>
    </row>
    <row r="26" spans="1:9" s="177" customFormat="1" x14ac:dyDescent="0.25">
      <c r="A26" s="284" t="s">
        <v>266</v>
      </c>
      <c r="B26" s="285">
        <f t="shared" ref="B26:E26" si="2">B25/B19</f>
        <v>0.11297735884377373</v>
      </c>
      <c r="C26" s="285">
        <f t="shared" si="2"/>
        <v>0.10713315750092246</v>
      </c>
      <c r="D26" s="285">
        <f t="shared" si="2"/>
        <v>9.1912735856963662E-2</v>
      </c>
      <c r="E26" s="285">
        <f t="shared" si="2"/>
        <v>6.7980556338408452E-2</v>
      </c>
      <c r="F26" s="285">
        <f>F25/F19</f>
        <v>4.8107137912689356E-2</v>
      </c>
      <c r="G26" s="286"/>
      <c r="H26" s="286"/>
    </row>
    <row r="27" spans="1:9" s="177" customFormat="1" x14ac:dyDescent="0.25">
      <c r="A27" s="239" t="s">
        <v>32</v>
      </c>
      <c r="B27" s="240">
        <f t="shared" ref="B27:E27" si="3">B19-(B32+B61+B15+B14)</f>
        <v>54214418.575864315</v>
      </c>
      <c r="C27" s="240">
        <f t="shared" si="3"/>
        <v>54221181.059243381</v>
      </c>
      <c r="D27" s="240">
        <f t="shared" si="3"/>
        <v>45051766.919755161</v>
      </c>
      <c r="E27" s="240">
        <f t="shared" si="3"/>
        <v>32069657.090355873</v>
      </c>
      <c r="F27" s="240">
        <f>F19-(F32+F61+F15+F14)</f>
        <v>21771516.549638987</v>
      </c>
      <c r="G27" s="240"/>
      <c r="H27" s="240"/>
      <c r="I27" s="177" t="s">
        <v>270</v>
      </c>
    </row>
    <row r="28" spans="1:9" x14ac:dyDescent="0.25">
      <c r="A28" s="241" t="s">
        <v>267</v>
      </c>
      <c r="B28" s="242">
        <f t="shared" ref="B28:E28" si="4">B27/B19</f>
        <v>0.10198890389156322</v>
      </c>
      <c r="C28" s="242">
        <f t="shared" si="4"/>
        <v>9.6895535690838933E-2</v>
      </c>
      <c r="D28" s="242">
        <f t="shared" si="4"/>
        <v>8.1771919524731229E-2</v>
      </c>
      <c r="E28" s="242">
        <f t="shared" si="4"/>
        <v>5.7172785048519581E-2</v>
      </c>
      <c r="F28" s="242">
        <f>F27/F19</f>
        <v>3.7790203300278311E-2</v>
      </c>
      <c r="G28" s="243"/>
      <c r="H28" s="243"/>
    </row>
    <row r="29" spans="1:9" x14ac:dyDescent="0.25">
      <c r="A29" s="222" t="s">
        <v>35</v>
      </c>
      <c r="B29" s="223">
        <v>6.5199999999999994E-2</v>
      </c>
      <c r="C29" s="223">
        <v>6.5199999999999994E-2</v>
      </c>
      <c r="D29" s="223">
        <v>6.5199999999999994E-2</v>
      </c>
      <c r="E29" s="223">
        <v>6.5199999999999994E-2</v>
      </c>
      <c r="F29" s="223">
        <v>6.5199999999999994E-2</v>
      </c>
      <c r="G29" s="223" t="s">
        <v>17</v>
      </c>
      <c r="H29" s="223" t="s">
        <v>17</v>
      </c>
      <c r="I29" s="224" t="s">
        <v>36</v>
      </c>
    </row>
    <row r="30" spans="1:9" s="177" customFormat="1" x14ac:dyDescent="0.25">
      <c r="A30" s="263"/>
      <c r="B30" s="223"/>
      <c r="C30" s="223"/>
      <c r="D30" s="223"/>
      <c r="E30" s="223"/>
      <c r="F30" s="223"/>
      <c r="G30" s="223"/>
      <c r="H30" s="223"/>
      <c r="I30" s="224"/>
    </row>
    <row r="31" spans="1:9" x14ac:dyDescent="0.25">
      <c r="A31" s="264" t="s">
        <v>268</v>
      </c>
      <c r="I31" s="130" t="s">
        <v>269</v>
      </c>
    </row>
    <row r="32" spans="1:9" x14ac:dyDescent="0.25">
      <c r="A32" s="61" t="s">
        <v>38</v>
      </c>
      <c r="B32" s="262">
        <f>B33+B47+B54</f>
        <v>470425929.19999999</v>
      </c>
      <c r="C32" s="262">
        <f>C33+C47+C54</f>
        <v>496947116.5</v>
      </c>
      <c r="D32" s="262">
        <f>D33+D47+D54</f>
        <v>495864907.5</v>
      </c>
      <c r="E32" s="262">
        <f>E33+E47+E54</f>
        <v>515197581.02999997</v>
      </c>
      <c r="F32" s="262">
        <f>F33+F47+F54</f>
        <v>531862451</v>
      </c>
      <c r="G32" s="62"/>
      <c r="H32" s="63"/>
    </row>
    <row r="33" spans="1:12" x14ac:dyDescent="0.25">
      <c r="A33" s="64" t="s">
        <v>39</v>
      </c>
      <c r="B33" s="65">
        <f>SUM(B34:B46)</f>
        <v>11117575</v>
      </c>
      <c r="C33" s="65">
        <f>SUM(C34:C46)</f>
        <v>11823474</v>
      </c>
      <c r="D33" s="66">
        <f>SUM(D34:D46)</f>
        <v>12428377</v>
      </c>
      <c r="E33" s="66">
        <f>SUM(E34:E46)</f>
        <v>13740940</v>
      </c>
      <c r="F33" s="66">
        <f>SUM(F34:F46)</f>
        <v>14227992</v>
      </c>
      <c r="G33" s="67">
        <f>(F33-D33)/D33</f>
        <v>0.1447988743823912</v>
      </c>
      <c r="H33" s="68">
        <f>F33/$F$32</f>
        <v>2.6751262423675027E-2</v>
      </c>
    </row>
    <row r="34" spans="1:12" x14ac:dyDescent="0.25">
      <c r="A34" s="69" t="s">
        <v>40</v>
      </c>
      <c r="B34" s="70">
        <v>9604</v>
      </c>
      <c r="C34" s="70">
        <v>9453</v>
      </c>
      <c r="D34" s="71">
        <v>8580</v>
      </c>
      <c r="E34" s="71">
        <v>8731</v>
      </c>
      <c r="F34" s="71">
        <v>11278</v>
      </c>
      <c r="G34" s="72">
        <f t="shared" ref="G34:G59" si="5">(F34-D34)/D34</f>
        <v>0.31445221445221444</v>
      </c>
      <c r="H34" s="73">
        <f t="shared" ref="H34:H59" si="6">F34/$F$32</f>
        <v>2.1204730619345791E-5</v>
      </c>
      <c r="L34" s="18"/>
    </row>
    <row r="35" spans="1:12" x14ac:dyDescent="0.25">
      <c r="A35" s="69" t="s">
        <v>41</v>
      </c>
      <c r="B35" s="70" t="s">
        <v>17</v>
      </c>
      <c r="C35" s="70" t="s">
        <v>17</v>
      </c>
      <c r="D35" s="74" t="s">
        <v>17</v>
      </c>
      <c r="E35" s="71" t="s">
        <v>17</v>
      </c>
      <c r="F35" s="71" t="s">
        <v>17</v>
      </c>
      <c r="G35" s="75" t="s">
        <v>17</v>
      </c>
      <c r="H35" s="73" t="s">
        <v>17</v>
      </c>
    </row>
    <row r="36" spans="1:12" x14ac:dyDescent="0.25">
      <c r="A36" s="69" t="s">
        <v>42</v>
      </c>
      <c r="B36" s="70" t="s">
        <v>17</v>
      </c>
      <c r="C36" s="70" t="s">
        <v>17</v>
      </c>
      <c r="D36" s="71" t="s">
        <v>17</v>
      </c>
      <c r="E36" s="71" t="s">
        <v>17</v>
      </c>
      <c r="F36" s="71" t="s">
        <v>17</v>
      </c>
      <c r="G36" s="75" t="s">
        <v>17</v>
      </c>
      <c r="H36" s="73" t="s">
        <v>17</v>
      </c>
    </row>
    <row r="37" spans="1:12" x14ac:dyDescent="0.25">
      <c r="A37" s="69" t="s">
        <v>43</v>
      </c>
      <c r="B37" s="70">
        <v>599973</v>
      </c>
      <c r="C37" s="70">
        <v>624831</v>
      </c>
      <c r="D37" s="71">
        <v>618754</v>
      </c>
      <c r="E37" s="71">
        <v>651552</v>
      </c>
      <c r="F37" s="71">
        <v>679841</v>
      </c>
      <c r="G37" s="72">
        <f t="shared" si="5"/>
        <v>9.8725826418899917E-2</v>
      </c>
      <c r="H37" s="73">
        <f t="shared" si="6"/>
        <v>1.278227103119938E-3</v>
      </c>
    </row>
    <row r="38" spans="1:12" x14ac:dyDescent="0.25">
      <c r="A38" s="69" t="s">
        <v>44</v>
      </c>
      <c r="B38" s="70">
        <v>17609</v>
      </c>
      <c r="C38" s="70">
        <v>17897</v>
      </c>
      <c r="D38" s="71">
        <v>18149</v>
      </c>
      <c r="E38" s="71">
        <v>19288</v>
      </c>
      <c r="F38" s="71">
        <v>25413</v>
      </c>
      <c r="G38" s="72">
        <f t="shared" si="5"/>
        <v>0.40024243759986777</v>
      </c>
      <c r="H38" s="73">
        <f t="shared" si="6"/>
        <v>4.7781150844957844E-5</v>
      </c>
    </row>
    <row r="39" spans="1:12" x14ac:dyDescent="0.25">
      <c r="A39" s="69" t="s">
        <v>45</v>
      </c>
      <c r="B39" s="70">
        <v>1311984</v>
      </c>
      <c r="C39" s="70">
        <v>1621374</v>
      </c>
      <c r="D39" s="71">
        <v>1601839</v>
      </c>
      <c r="E39" s="71">
        <v>1655290</v>
      </c>
      <c r="F39" s="71">
        <v>1709625</v>
      </c>
      <c r="G39" s="72">
        <f t="shared" si="5"/>
        <v>6.728890980928795E-2</v>
      </c>
      <c r="H39" s="73">
        <f t="shared" si="6"/>
        <v>3.2144119156853209E-3</v>
      </c>
    </row>
    <row r="40" spans="1:12" x14ac:dyDescent="0.25">
      <c r="A40" s="69" t="s">
        <v>46</v>
      </c>
      <c r="B40" s="70" t="s">
        <v>17</v>
      </c>
      <c r="C40" s="70" t="s">
        <v>17</v>
      </c>
      <c r="D40" s="71" t="s">
        <v>17</v>
      </c>
      <c r="E40" s="71" t="s">
        <v>17</v>
      </c>
      <c r="F40" s="71" t="s">
        <v>17</v>
      </c>
      <c r="G40" s="75" t="s">
        <v>17</v>
      </c>
      <c r="H40" s="73" t="s">
        <v>17</v>
      </c>
    </row>
    <row r="41" spans="1:12" x14ac:dyDescent="0.25">
      <c r="A41" s="69" t="s">
        <v>47</v>
      </c>
      <c r="B41" s="70">
        <v>1988760</v>
      </c>
      <c r="C41" s="70">
        <v>2357326</v>
      </c>
      <c r="D41" s="71">
        <v>2687074</v>
      </c>
      <c r="E41" s="71">
        <v>2531044</v>
      </c>
      <c r="F41" s="71">
        <v>2410906</v>
      </c>
      <c r="G41" s="76">
        <f t="shared" si="5"/>
        <v>-0.10277647731324109</v>
      </c>
      <c r="H41" s="73">
        <f t="shared" si="6"/>
        <v>4.5329501931693989E-3</v>
      </c>
    </row>
    <row r="42" spans="1:12" x14ac:dyDescent="0.25">
      <c r="A42" s="69" t="s">
        <v>48</v>
      </c>
      <c r="B42" s="70">
        <v>380227</v>
      </c>
      <c r="C42" s="70">
        <v>329369</v>
      </c>
      <c r="D42" s="71">
        <v>293100</v>
      </c>
      <c r="E42" s="71">
        <v>352960</v>
      </c>
      <c r="F42" s="71">
        <v>416695</v>
      </c>
      <c r="G42" s="72">
        <f t="shared" si="5"/>
        <v>0.42168201978846809</v>
      </c>
      <c r="H42" s="73">
        <f t="shared" si="6"/>
        <v>7.8346384336126036E-4</v>
      </c>
    </row>
    <row r="43" spans="1:12" x14ac:dyDescent="0.25">
      <c r="A43" s="69" t="s">
        <v>49</v>
      </c>
      <c r="B43" s="70">
        <v>403898</v>
      </c>
      <c r="C43" s="70">
        <v>395892</v>
      </c>
      <c r="D43" s="71">
        <v>376801</v>
      </c>
      <c r="E43" s="71">
        <v>398326</v>
      </c>
      <c r="F43" s="71">
        <v>409487</v>
      </c>
      <c r="G43" s="72">
        <f t="shared" si="5"/>
        <v>8.6746054283295432E-2</v>
      </c>
      <c r="H43" s="73">
        <f t="shared" si="6"/>
        <v>7.6991146720376393E-4</v>
      </c>
    </row>
    <row r="44" spans="1:12" x14ac:dyDescent="0.25">
      <c r="A44" s="69" t="s">
        <v>50</v>
      </c>
      <c r="B44" s="70">
        <v>105810</v>
      </c>
      <c r="C44" s="70">
        <v>87239</v>
      </c>
      <c r="D44" s="71">
        <v>69661</v>
      </c>
      <c r="E44" s="71">
        <v>70595</v>
      </c>
      <c r="F44" s="71">
        <v>76954</v>
      </c>
      <c r="G44" s="72">
        <f t="shared" si="5"/>
        <v>0.10469272620260978</v>
      </c>
      <c r="H44" s="73">
        <f t="shared" si="6"/>
        <v>1.446877850754687E-4</v>
      </c>
    </row>
    <row r="45" spans="1:12" x14ac:dyDescent="0.25">
      <c r="A45" s="69" t="s">
        <v>51</v>
      </c>
      <c r="B45" s="70">
        <v>4496784</v>
      </c>
      <c r="C45" s="70">
        <v>4530889</v>
      </c>
      <c r="D45" s="71">
        <v>4997431</v>
      </c>
      <c r="E45" s="71">
        <v>6196638</v>
      </c>
      <c r="F45" s="71">
        <v>6636859</v>
      </c>
      <c r="G45" s="72">
        <f t="shared" si="5"/>
        <v>0.32805415422444051</v>
      </c>
      <c r="H45" s="73">
        <f t="shared" si="6"/>
        <v>1.2478525204254361E-2</v>
      </c>
    </row>
    <row r="46" spans="1:12" x14ac:dyDescent="0.25">
      <c r="A46" s="69" t="s">
        <v>52</v>
      </c>
      <c r="B46" s="70">
        <v>1802926</v>
      </c>
      <c r="C46" s="70">
        <v>1849204</v>
      </c>
      <c r="D46" s="71">
        <v>1756988</v>
      </c>
      <c r="E46" s="71">
        <v>1856516</v>
      </c>
      <c r="F46" s="71">
        <v>1850934</v>
      </c>
      <c r="G46" s="72">
        <f t="shared" si="5"/>
        <v>5.3469915560037974E-2</v>
      </c>
      <c r="H46" s="73">
        <f t="shared" si="6"/>
        <v>3.4800990303412113E-3</v>
      </c>
    </row>
    <row r="47" spans="1:12" x14ac:dyDescent="0.25">
      <c r="A47" s="64" t="s">
        <v>53</v>
      </c>
      <c r="B47" s="66">
        <f>SUM(B48:B53)</f>
        <v>12033306</v>
      </c>
      <c r="C47" s="66">
        <f>SUM(C48:C53)</f>
        <v>14206055</v>
      </c>
      <c r="D47" s="66">
        <f>SUM(D48:D53)</f>
        <v>11604262</v>
      </c>
      <c r="E47" s="66">
        <f>SUM(E48:E53)</f>
        <v>6951303</v>
      </c>
      <c r="F47" s="66">
        <f>SUM(F48:F53)</f>
        <v>7223013</v>
      </c>
      <c r="G47" s="77">
        <f t="shared" si="5"/>
        <v>-0.37755516033677972</v>
      </c>
      <c r="H47" s="68">
        <f t="shared" si="6"/>
        <v>1.3580603380478161E-2</v>
      </c>
    </row>
    <row r="48" spans="1:12" x14ac:dyDescent="0.25">
      <c r="A48" s="69" t="s">
        <v>54</v>
      </c>
      <c r="B48" s="70">
        <v>6449029</v>
      </c>
      <c r="C48" s="70">
        <v>8867091</v>
      </c>
      <c r="D48" s="71">
        <v>6974949</v>
      </c>
      <c r="E48" s="71">
        <v>2209203</v>
      </c>
      <c r="F48" s="71">
        <v>2148783</v>
      </c>
      <c r="G48" s="21">
        <f t="shared" si="5"/>
        <v>-0.69192850012236651</v>
      </c>
      <c r="H48" s="73">
        <f t="shared" si="6"/>
        <v>4.0401103630457267E-3</v>
      </c>
    </row>
    <row r="49" spans="1:8" x14ac:dyDescent="0.25">
      <c r="A49" s="69" t="s">
        <v>55</v>
      </c>
      <c r="B49" s="70" t="s">
        <v>17</v>
      </c>
      <c r="C49" s="70" t="s">
        <v>17</v>
      </c>
      <c r="D49" s="71" t="s">
        <v>17</v>
      </c>
      <c r="E49" s="71" t="s">
        <v>17</v>
      </c>
      <c r="F49" s="71" t="s">
        <v>17</v>
      </c>
      <c r="G49" s="12" t="s">
        <v>17</v>
      </c>
      <c r="H49" s="73" t="s">
        <v>17</v>
      </c>
    </row>
    <row r="50" spans="1:8" x14ac:dyDescent="0.25">
      <c r="A50" s="69" t="s">
        <v>56</v>
      </c>
      <c r="B50" s="70">
        <v>28822</v>
      </c>
      <c r="C50" s="70">
        <v>28619</v>
      </c>
      <c r="D50" s="71">
        <v>26664</v>
      </c>
      <c r="E50" s="71">
        <v>26348</v>
      </c>
      <c r="F50" s="71">
        <v>26507</v>
      </c>
      <c r="G50" s="21">
        <f t="shared" si="5"/>
        <v>-5.8880888088808881E-3</v>
      </c>
      <c r="H50" s="73">
        <f t="shared" si="6"/>
        <v>4.9838073641337013E-5</v>
      </c>
    </row>
    <row r="51" spans="1:8" x14ac:dyDescent="0.25">
      <c r="A51" s="69" t="s">
        <v>57</v>
      </c>
      <c r="B51" s="70" t="s">
        <v>17</v>
      </c>
      <c r="C51" s="70" t="s">
        <v>17</v>
      </c>
      <c r="D51" s="71" t="s">
        <v>17</v>
      </c>
      <c r="E51" s="71" t="s">
        <v>17</v>
      </c>
      <c r="F51" s="71" t="s">
        <v>17</v>
      </c>
      <c r="G51" s="12" t="s">
        <v>17</v>
      </c>
      <c r="H51" s="73" t="s">
        <v>17</v>
      </c>
    </row>
    <row r="52" spans="1:8" x14ac:dyDescent="0.25">
      <c r="A52" s="69" t="s">
        <v>58</v>
      </c>
      <c r="B52" s="70" t="s">
        <v>17</v>
      </c>
      <c r="C52" s="70" t="s">
        <v>17</v>
      </c>
      <c r="D52" s="71" t="s">
        <v>17</v>
      </c>
      <c r="E52" s="71">
        <v>663</v>
      </c>
      <c r="F52" s="71">
        <v>2038</v>
      </c>
      <c r="G52" s="12" t="s">
        <v>17</v>
      </c>
      <c r="H52" s="73" t="s">
        <v>17</v>
      </c>
    </row>
    <row r="53" spans="1:8" x14ac:dyDescent="0.25">
      <c r="A53" s="69" t="s">
        <v>59</v>
      </c>
      <c r="B53" s="70">
        <v>5555455</v>
      </c>
      <c r="C53" s="70">
        <v>5310345</v>
      </c>
      <c r="D53" s="71">
        <v>4602649</v>
      </c>
      <c r="E53" s="71">
        <v>4715089</v>
      </c>
      <c r="F53" s="71">
        <v>5045685</v>
      </c>
      <c r="G53" s="27">
        <f t="shared" si="5"/>
        <v>9.6256742584542074E-2</v>
      </c>
      <c r="H53" s="73">
        <f t="shared" si="6"/>
        <v>9.486823126004058E-3</v>
      </c>
    </row>
    <row r="54" spans="1:8" x14ac:dyDescent="0.25">
      <c r="A54" s="64" t="s">
        <v>60</v>
      </c>
      <c r="B54" s="66">
        <f>SUM(B55:B59)</f>
        <v>447275048.19999999</v>
      </c>
      <c r="C54" s="66">
        <f>SUM(C55:C59)</f>
        <v>470917587.5</v>
      </c>
      <c r="D54" s="66">
        <f>SUM(D55:D59)</f>
        <v>471832268.5</v>
      </c>
      <c r="E54" s="66">
        <f>SUM(E55:E59)</f>
        <v>494505338.02999997</v>
      </c>
      <c r="F54" s="66">
        <f>SUM(F55:F59)</f>
        <v>510411446</v>
      </c>
      <c r="G54" s="67">
        <f t="shared" si="5"/>
        <v>8.1764601693408767E-2</v>
      </c>
      <c r="H54" s="68">
        <f t="shared" si="6"/>
        <v>0.95966813419584684</v>
      </c>
    </row>
    <row r="55" spans="1:8" x14ac:dyDescent="0.25">
      <c r="A55" s="69" t="s">
        <v>61</v>
      </c>
      <c r="B55" s="70">
        <v>148687</v>
      </c>
      <c r="C55" s="70">
        <v>138948</v>
      </c>
      <c r="D55" s="71">
        <v>121294</v>
      </c>
      <c r="E55" s="71">
        <v>119800</v>
      </c>
      <c r="F55" s="71">
        <v>166331</v>
      </c>
      <c r="G55" s="27">
        <f t="shared" si="5"/>
        <v>0.371304433854931</v>
      </c>
      <c r="H55" s="73">
        <f t="shared" si="6"/>
        <v>3.1273311302060691E-4</v>
      </c>
    </row>
    <row r="56" spans="1:8" x14ac:dyDescent="0.25">
      <c r="A56" s="69" t="s">
        <v>62</v>
      </c>
      <c r="B56" s="70">
        <v>75716</v>
      </c>
      <c r="C56" s="70">
        <v>102019</v>
      </c>
      <c r="D56" s="71">
        <v>77543</v>
      </c>
      <c r="E56" s="71">
        <v>98518</v>
      </c>
      <c r="F56" s="71">
        <v>92979</v>
      </c>
      <c r="G56" s="27">
        <f t="shared" si="5"/>
        <v>0.19906374527681414</v>
      </c>
      <c r="H56" s="73">
        <f t="shared" si="6"/>
        <v>1.7481775565314348E-4</v>
      </c>
    </row>
    <row r="57" spans="1:8" x14ac:dyDescent="0.25">
      <c r="A57" s="78" t="s">
        <v>63</v>
      </c>
      <c r="B57" s="70">
        <v>267519966</v>
      </c>
      <c r="C57" s="70">
        <v>295570005</v>
      </c>
      <c r="D57" s="71">
        <v>295332462</v>
      </c>
      <c r="E57" s="71">
        <v>309129716</v>
      </c>
      <c r="F57" s="71">
        <v>317266447</v>
      </c>
      <c r="G57" s="27">
        <f t="shared" si="5"/>
        <v>7.4268791352844921E-2</v>
      </c>
      <c r="H57" s="79">
        <f t="shared" si="6"/>
        <v>0.59651973250504953</v>
      </c>
    </row>
    <row r="58" spans="1:8" x14ac:dyDescent="0.25">
      <c r="A58" s="78" t="s">
        <v>64</v>
      </c>
      <c r="B58" s="70">
        <v>151508863</v>
      </c>
      <c r="C58" s="70">
        <v>148231863</v>
      </c>
      <c r="D58" s="71">
        <v>152795331</v>
      </c>
      <c r="E58" s="71">
        <v>161885488</v>
      </c>
      <c r="F58" s="71">
        <v>169835401</v>
      </c>
      <c r="G58" s="27">
        <f t="shared" si="5"/>
        <v>0.11152219042609358</v>
      </c>
      <c r="H58" s="79">
        <f t="shared" si="6"/>
        <v>0.3193220365165429</v>
      </c>
    </row>
    <row r="59" spans="1:8" x14ac:dyDescent="0.25">
      <c r="A59" s="69" t="s">
        <v>65</v>
      </c>
      <c r="B59" s="70">
        <v>28021816.199999999</v>
      </c>
      <c r="C59" s="70">
        <v>26874752.5</v>
      </c>
      <c r="D59" s="71">
        <v>23505638.5</v>
      </c>
      <c r="E59" s="71">
        <v>23271816.030000001</v>
      </c>
      <c r="F59" s="71">
        <v>23050288</v>
      </c>
      <c r="G59" s="21">
        <f t="shared" si="5"/>
        <v>-1.9371968985228801E-2</v>
      </c>
      <c r="H59" s="73">
        <f t="shared" si="6"/>
        <v>4.3338814305580675E-2</v>
      </c>
    </row>
    <row r="61" spans="1:8" x14ac:dyDescent="0.25">
      <c r="A61" s="80" t="s">
        <v>66</v>
      </c>
      <c r="B61" s="82">
        <v>739188</v>
      </c>
      <c r="C61" s="82">
        <v>1531255</v>
      </c>
      <c r="D61" s="82">
        <v>1576341</v>
      </c>
      <c r="E61" s="82">
        <v>2191583</v>
      </c>
      <c r="F61" s="82">
        <v>9461699</v>
      </c>
      <c r="G61" s="82"/>
      <c r="H61" s="82"/>
    </row>
    <row r="62" spans="1:8" x14ac:dyDescent="0.25">
      <c r="A62" s="83" t="s">
        <v>67</v>
      </c>
      <c r="B62" s="84">
        <v>167151</v>
      </c>
      <c r="C62" s="84">
        <v>237172</v>
      </c>
      <c r="D62" s="84">
        <v>270740</v>
      </c>
      <c r="E62" s="84">
        <v>262020</v>
      </c>
      <c r="F62" s="84">
        <v>365730</v>
      </c>
    </row>
    <row r="63" spans="1:8" x14ac:dyDescent="0.25">
      <c r="A63" s="83" t="s">
        <v>68</v>
      </c>
      <c r="B63" s="84">
        <v>394371</v>
      </c>
      <c r="C63" s="84">
        <v>434015</v>
      </c>
      <c r="D63" s="84">
        <v>496806</v>
      </c>
      <c r="E63" s="84">
        <v>444372</v>
      </c>
      <c r="F63" s="84">
        <v>454456</v>
      </c>
    </row>
    <row r="68" spans="5:5" x14ac:dyDescent="0.25">
      <c r="E68" s="178">
        <f>E32+E61</f>
        <v>517389164.02999997</v>
      </c>
    </row>
    <row r="69" spans="5:5" x14ac:dyDescent="0.25">
      <c r="E69" s="37">
        <v>5404048.4119999986</v>
      </c>
    </row>
    <row r="70" spans="5:5" x14ac:dyDescent="0.25">
      <c r="E70" s="178">
        <f>E68+E69</f>
        <v>522793212.44199997</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24674-8A06-40D4-B2E0-480EF404457D}">
  <dimension ref="A1:I42"/>
  <sheetViews>
    <sheetView zoomScale="130" zoomScaleNormal="130" workbookViewId="0">
      <selection activeCell="F5" sqref="F5"/>
    </sheetView>
  </sheetViews>
  <sheetFormatPr defaultColWidth="9.140625" defaultRowHeight="15" x14ac:dyDescent="0.25"/>
  <cols>
    <col min="1" max="1" width="50.42578125" style="177" bestFit="1" customWidth="1"/>
    <col min="2" max="2" width="17.140625" style="177" bestFit="1" customWidth="1"/>
    <col min="3" max="3" width="13" style="177" bestFit="1" customWidth="1"/>
    <col min="4" max="6" width="12.7109375" style="177" bestFit="1" customWidth="1"/>
    <col min="7" max="7" width="9.140625" style="177"/>
    <col min="8" max="8" width="8.5703125" style="177" customWidth="1"/>
    <col min="9" max="16384" width="9.140625" style="177"/>
  </cols>
  <sheetData>
    <row r="1" spans="1:9" ht="19.5" thickBot="1" x14ac:dyDescent="0.35">
      <c r="A1" s="96" t="s">
        <v>78</v>
      </c>
      <c r="B1" s="95">
        <v>2021</v>
      </c>
      <c r="C1" s="95">
        <v>2022</v>
      </c>
      <c r="D1" s="95">
        <v>2023</v>
      </c>
      <c r="E1" s="95">
        <v>2024</v>
      </c>
      <c r="F1" s="95">
        <v>2025</v>
      </c>
    </row>
    <row r="2" spans="1:9" x14ac:dyDescent="0.25">
      <c r="A2" s="275" t="s">
        <v>4</v>
      </c>
      <c r="B2" s="266">
        <v>80286607.755102038</v>
      </c>
      <c r="C2" s="266">
        <v>69613704.081632659</v>
      </c>
      <c r="D2" s="266">
        <v>71889997.551020399</v>
      </c>
      <c r="E2" s="266">
        <v>92359314.795918375</v>
      </c>
      <c r="F2" s="266">
        <v>88708305.510204077</v>
      </c>
    </row>
    <row r="3" spans="1:9" x14ac:dyDescent="0.25">
      <c r="A3" s="276" t="s">
        <v>6</v>
      </c>
      <c r="B3" s="267">
        <v>1865538.3670000001</v>
      </c>
      <c r="C3" s="266">
        <v>6307984</v>
      </c>
      <c r="D3" s="266">
        <v>12215537</v>
      </c>
      <c r="E3" s="266">
        <v>17414020.651999999</v>
      </c>
      <c r="F3" s="267">
        <v>23092405.579</v>
      </c>
    </row>
    <row r="4" spans="1:9" x14ac:dyDescent="0.25">
      <c r="A4" s="277" t="s">
        <v>8</v>
      </c>
      <c r="B4" s="268">
        <v>18466924.850480083</v>
      </c>
      <c r="C4" s="268">
        <v>20073974.427820042</v>
      </c>
      <c r="D4" s="268">
        <v>17976195.758019969</v>
      </c>
      <c r="E4" s="268">
        <v>17438134.016839977</v>
      </c>
      <c r="F4" s="268">
        <v>18152024.822820082</v>
      </c>
    </row>
    <row r="5" spans="1:9" x14ac:dyDescent="0.25">
      <c r="A5" s="275" t="s">
        <v>11</v>
      </c>
      <c r="B5" s="267">
        <v>7065454.1780337477</v>
      </c>
      <c r="C5" s="267">
        <v>5588360.1091239769</v>
      </c>
      <c r="D5" s="267">
        <v>8688936.0412246138</v>
      </c>
      <c r="E5" s="267">
        <v>7804455.8957259776</v>
      </c>
      <c r="F5" s="267">
        <v>5360836.6171567142</v>
      </c>
    </row>
    <row r="6" spans="1:9" x14ac:dyDescent="0.25">
      <c r="A6" s="278" t="s">
        <v>13</v>
      </c>
      <c r="B6" s="269">
        <v>3212958.749520015</v>
      </c>
      <c r="C6" s="269">
        <v>3492560.4721800089</v>
      </c>
      <c r="D6" s="269">
        <v>3244670.4419799931</v>
      </c>
      <c r="E6" s="269">
        <v>3250125.5831599943</v>
      </c>
      <c r="F6" s="269">
        <v>3403639.3771800175</v>
      </c>
    </row>
    <row r="7" spans="1:9" x14ac:dyDescent="0.25">
      <c r="A7" s="123" t="s">
        <v>20</v>
      </c>
      <c r="B7" s="272">
        <v>351047</v>
      </c>
      <c r="C7" s="272">
        <v>1155532</v>
      </c>
      <c r="D7" s="272">
        <v>2864186.4800000004</v>
      </c>
      <c r="E7" s="272">
        <v>5404048.4119999986</v>
      </c>
      <c r="F7" s="272">
        <v>7075948.188000001</v>
      </c>
    </row>
    <row r="8" spans="1:9" x14ac:dyDescent="0.25">
      <c r="A8" s="280" t="s">
        <v>22</v>
      </c>
      <c r="B8" s="270">
        <v>104705284.83800009</v>
      </c>
      <c r="C8" s="270">
        <v>98192242.825000003</v>
      </c>
      <c r="D8" s="270">
        <v>105564126.10600007</v>
      </c>
      <c r="E8" s="270">
        <v>126799651.03200012</v>
      </c>
      <c r="F8" s="270">
        <v>125697519.22799991</v>
      </c>
    </row>
    <row r="9" spans="1:9" x14ac:dyDescent="0.25">
      <c r="A9" s="274" t="s">
        <v>23</v>
      </c>
      <c r="B9" s="265">
        <v>426887150</v>
      </c>
      <c r="C9" s="265">
        <v>461422530</v>
      </c>
      <c r="D9" s="265">
        <v>445409760</v>
      </c>
      <c r="E9" s="265">
        <v>434152940</v>
      </c>
      <c r="F9" s="265">
        <v>450527770</v>
      </c>
    </row>
    <row r="10" spans="1:9" x14ac:dyDescent="0.25">
      <c r="A10" s="279" t="s">
        <v>25</v>
      </c>
      <c r="B10" s="265">
        <v>-20700</v>
      </c>
      <c r="C10" s="265">
        <v>-30880</v>
      </c>
      <c r="D10" s="265">
        <v>-29660</v>
      </c>
      <c r="E10" s="265">
        <v>-27370</v>
      </c>
      <c r="F10" s="265">
        <v>-109930</v>
      </c>
    </row>
    <row r="11" spans="1:9" x14ac:dyDescent="0.25">
      <c r="A11" s="69" t="s">
        <v>40</v>
      </c>
      <c r="B11" s="70">
        <v>9604</v>
      </c>
      <c r="C11" s="70">
        <v>9453</v>
      </c>
      <c r="D11" s="71">
        <v>8580</v>
      </c>
      <c r="E11" s="71">
        <v>8731</v>
      </c>
      <c r="F11" s="71">
        <v>11278</v>
      </c>
      <c r="I11" s="18"/>
    </row>
    <row r="12" spans="1:9" x14ac:dyDescent="0.25">
      <c r="A12" s="69" t="s">
        <v>41</v>
      </c>
      <c r="B12" s="70" t="s">
        <v>17</v>
      </c>
      <c r="C12" s="70" t="s">
        <v>17</v>
      </c>
      <c r="D12" s="74" t="s">
        <v>17</v>
      </c>
      <c r="E12" s="71" t="s">
        <v>17</v>
      </c>
      <c r="F12" s="71" t="s">
        <v>17</v>
      </c>
    </row>
    <row r="13" spans="1:9" x14ac:dyDescent="0.25">
      <c r="A13" s="69" t="s">
        <v>42</v>
      </c>
      <c r="B13" s="70" t="s">
        <v>17</v>
      </c>
      <c r="C13" s="70" t="s">
        <v>17</v>
      </c>
      <c r="D13" s="71" t="s">
        <v>17</v>
      </c>
      <c r="E13" s="71" t="s">
        <v>17</v>
      </c>
      <c r="F13" s="71" t="s">
        <v>17</v>
      </c>
    </row>
    <row r="14" spans="1:9" x14ac:dyDescent="0.25">
      <c r="A14" s="69" t="s">
        <v>43</v>
      </c>
      <c r="B14" s="70">
        <v>599973</v>
      </c>
      <c r="C14" s="70">
        <v>624831</v>
      </c>
      <c r="D14" s="71">
        <v>618754</v>
      </c>
      <c r="E14" s="71">
        <v>651552</v>
      </c>
      <c r="F14" s="71">
        <v>679841</v>
      </c>
    </row>
    <row r="15" spans="1:9" x14ac:dyDescent="0.25">
      <c r="A15" s="69" t="s">
        <v>44</v>
      </c>
      <c r="B15" s="70">
        <v>17609</v>
      </c>
      <c r="C15" s="70">
        <v>17897</v>
      </c>
      <c r="D15" s="71">
        <v>18149</v>
      </c>
      <c r="E15" s="71">
        <v>19288</v>
      </c>
      <c r="F15" s="71">
        <v>25413</v>
      </c>
    </row>
    <row r="16" spans="1:9" x14ac:dyDescent="0.25">
      <c r="A16" s="69" t="s">
        <v>45</v>
      </c>
      <c r="B16" s="70">
        <v>1311984</v>
      </c>
      <c r="C16" s="70">
        <v>1621374</v>
      </c>
      <c r="D16" s="71">
        <v>1601839</v>
      </c>
      <c r="E16" s="71">
        <v>1655290</v>
      </c>
      <c r="F16" s="71">
        <v>1709625</v>
      </c>
    </row>
    <row r="17" spans="1:6" x14ac:dyDescent="0.25">
      <c r="A17" s="69" t="s">
        <v>46</v>
      </c>
      <c r="B17" s="70" t="s">
        <v>17</v>
      </c>
      <c r="C17" s="70" t="s">
        <v>17</v>
      </c>
      <c r="D17" s="71" t="s">
        <v>17</v>
      </c>
      <c r="E17" s="71" t="s">
        <v>17</v>
      </c>
      <c r="F17" s="71" t="s">
        <v>17</v>
      </c>
    </row>
    <row r="18" spans="1:6" x14ac:dyDescent="0.25">
      <c r="A18" s="69" t="s">
        <v>47</v>
      </c>
      <c r="B18" s="70">
        <v>1988760</v>
      </c>
      <c r="C18" s="70">
        <v>2357326</v>
      </c>
      <c r="D18" s="71">
        <v>2687074</v>
      </c>
      <c r="E18" s="71">
        <v>2531044</v>
      </c>
      <c r="F18" s="71">
        <v>2410906</v>
      </c>
    </row>
    <row r="19" spans="1:6" x14ac:dyDescent="0.25">
      <c r="A19" s="69" t="s">
        <v>48</v>
      </c>
      <c r="B19" s="70">
        <v>380227</v>
      </c>
      <c r="C19" s="70">
        <v>329369</v>
      </c>
      <c r="D19" s="71">
        <v>293100</v>
      </c>
      <c r="E19" s="71">
        <v>352960</v>
      </c>
      <c r="F19" s="71">
        <v>416695</v>
      </c>
    </row>
    <row r="20" spans="1:6" x14ac:dyDescent="0.25">
      <c r="A20" s="69" t="s">
        <v>49</v>
      </c>
      <c r="B20" s="70">
        <v>403898</v>
      </c>
      <c r="C20" s="70">
        <v>395892</v>
      </c>
      <c r="D20" s="71">
        <v>376801</v>
      </c>
      <c r="E20" s="71">
        <v>398326</v>
      </c>
      <c r="F20" s="71">
        <v>409487</v>
      </c>
    </row>
    <row r="21" spans="1:6" x14ac:dyDescent="0.25">
      <c r="A21" s="69" t="s">
        <v>50</v>
      </c>
      <c r="B21" s="70">
        <v>105810</v>
      </c>
      <c r="C21" s="70">
        <v>87239</v>
      </c>
      <c r="D21" s="71">
        <v>69661</v>
      </c>
      <c r="E21" s="71">
        <v>70595</v>
      </c>
      <c r="F21" s="71">
        <v>76954</v>
      </c>
    </row>
    <row r="22" spans="1:6" x14ac:dyDescent="0.25">
      <c r="A22" s="69" t="s">
        <v>51</v>
      </c>
      <c r="B22" s="70">
        <v>4496784</v>
      </c>
      <c r="C22" s="70">
        <v>4530889</v>
      </c>
      <c r="D22" s="71">
        <v>4997431</v>
      </c>
      <c r="E22" s="71">
        <v>6196638</v>
      </c>
      <c r="F22" s="71">
        <v>6636859</v>
      </c>
    </row>
    <row r="23" spans="1:6" x14ac:dyDescent="0.25">
      <c r="A23" s="69" t="s">
        <v>52</v>
      </c>
      <c r="B23" s="70">
        <v>1802926</v>
      </c>
      <c r="C23" s="70">
        <v>1849204</v>
      </c>
      <c r="D23" s="71">
        <v>1756988</v>
      </c>
      <c r="E23" s="71">
        <v>1856516</v>
      </c>
      <c r="F23" s="71">
        <v>1850934</v>
      </c>
    </row>
    <row r="24" spans="1:6" x14ac:dyDescent="0.25">
      <c r="A24" s="69" t="s">
        <v>54</v>
      </c>
      <c r="B24" s="70">
        <v>6449029</v>
      </c>
      <c r="C24" s="70">
        <v>8867091</v>
      </c>
      <c r="D24" s="71">
        <v>6974949</v>
      </c>
      <c r="E24" s="71">
        <v>2209203</v>
      </c>
      <c r="F24" s="71">
        <v>2148783</v>
      </c>
    </row>
    <row r="25" spans="1:6" x14ac:dyDescent="0.25">
      <c r="A25" s="69" t="s">
        <v>55</v>
      </c>
      <c r="B25" s="70" t="s">
        <v>17</v>
      </c>
      <c r="C25" s="70" t="s">
        <v>17</v>
      </c>
      <c r="D25" s="71" t="s">
        <v>17</v>
      </c>
      <c r="E25" s="71" t="s">
        <v>17</v>
      </c>
      <c r="F25" s="71" t="s">
        <v>17</v>
      </c>
    </row>
    <row r="26" spans="1:6" x14ac:dyDescent="0.25">
      <c r="A26" s="69" t="s">
        <v>56</v>
      </c>
      <c r="B26" s="70">
        <v>28822</v>
      </c>
      <c r="C26" s="70">
        <v>28619</v>
      </c>
      <c r="D26" s="71">
        <v>26664</v>
      </c>
      <c r="E26" s="71">
        <v>26348</v>
      </c>
      <c r="F26" s="71">
        <v>26507</v>
      </c>
    </row>
    <row r="27" spans="1:6" x14ac:dyDescent="0.25">
      <c r="A27" s="69" t="s">
        <v>57</v>
      </c>
      <c r="B27" s="70" t="s">
        <v>17</v>
      </c>
      <c r="C27" s="70" t="s">
        <v>17</v>
      </c>
      <c r="D27" s="71" t="s">
        <v>17</v>
      </c>
      <c r="E27" s="71" t="s">
        <v>17</v>
      </c>
      <c r="F27" s="71" t="s">
        <v>17</v>
      </c>
    </row>
    <row r="28" spans="1:6" x14ac:dyDescent="0.25">
      <c r="A28" s="69" t="s">
        <v>58</v>
      </c>
      <c r="B28" s="70" t="s">
        <v>17</v>
      </c>
      <c r="C28" s="70"/>
      <c r="D28" s="71" t="s">
        <v>17</v>
      </c>
      <c r="E28" s="71">
        <v>663</v>
      </c>
      <c r="F28" s="71">
        <v>2038</v>
      </c>
    </row>
    <row r="29" spans="1:6" x14ac:dyDescent="0.25">
      <c r="A29" s="69" t="s">
        <v>59</v>
      </c>
      <c r="B29" s="70">
        <v>5555455</v>
      </c>
      <c r="C29" s="70">
        <v>5310345</v>
      </c>
      <c r="D29" s="71">
        <v>4602649</v>
      </c>
      <c r="E29" s="71">
        <v>4715089</v>
      </c>
      <c r="F29" s="71">
        <v>5045685</v>
      </c>
    </row>
    <row r="30" spans="1:6" x14ac:dyDescent="0.25">
      <c r="A30" s="69" t="s">
        <v>61</v>
      </c>
      <c r="B30" s="70">
        <v>148687</v>
      </c>
      <c r="C30" s="70">
        <v>138948</v>
      </c>
      <c r="D30" s="71">
        <v>121294</v>
      </c>
      <c r="E30" s="71">
        <v>119800</v>
      </c>
      <c r="F30" s="71">
        <v>166331</v>
      </c>
    </row>
    <row r="31" spans="1:6" x14ac:dyDescent="0.25">
      <c r="A31" s="69" t="s">
        <v>62</v>
      </c>
      <c r="B31" s="70">
        <v>75716</v>
      </c>
      <c r="C31" s="70">
        <v>102019</v>
      </c>
      <c r="D31" s="71">
        <v>77543</v>
      </c>
      <c r="E31" s="71">
        <v>98518</v>
      </c>
      <c r="F31" s="71">
        <v>92979</v>
      </c>
    </row>
    <row r="32" spans="1:6" x14ac:dyDescent="0.25">
      <c r="A32" s="78" t="s">
        <v>63</v>
      </c>
      <c r="B32" s="70">
        <v>267519966</v>
      </c>
      <c r="C32" s="70">
        <v>295570005</v>
      </c>
      <c r="D32" s="71">
        <v>295332462</v>
      </c>
      <c r="E32" s="71">
        <v>309129716</v>
      </c>
      <c r="F32" s="71">
        <v>317266447</v>
      </c>
    </row>
    <row r="33" spans="1:6" x14ac:dyDescent="0.25">
      <c r="A33" s="78" t="s">
        <v>64</v>
      </c>
      <c r="B33" s="70">
        <v>151508863</v>
      </c>
      <c r="C33" s="70">
        <v>148231863</v>
      </c>
      <c r="D33" s="71">
        <v>152795331</v>
      </c>
      <c r="E33" s="71">
        <v>161885488</v>
      </c>
      <c r="F33" s="71">
        <v>169835401</v>
      </c>
    </row>
    <row r="34" spans="1:6" x14ac:dyDescent="0.25">
      <c r="A34" s="69" t="s">
        <v>65</v>
      </c>
      <c r="B34" s="70">
        <v>28021816.199999999</v>
      </c>
      <c r="C34" s="70">
        <v>26874752.5</v>
      </c>
      <c r="D34" s="71">
        <v>23505638.5</v>
      </c>
      <c r="E34" s="71">
        <v>23271816.030000001</v>
      </c>
      <c r="F34" s="71">
        <v>23050288</v>
      </c>
    </row>
    <row r="35" spans="1:6" x14ac:dyDescent="0.25">
      <c r="A35" s="80" t="s">
        <v>66</v>
      </c>
      <c r="B35" s="82">
        <v>739188</v>
      </c>
      <c r="C35" s="82">
        <v>1531255</v>
      </c>
      <c r="D35" s="82">
        <v>1576341</v>
      </c>
      <c r="E35" s="82">
        <v>2191583</v>
      </c>
      <c r="F35" s="82">
        <v>9461699</v>
      </c>
    </row>
    <row r="40" spans="1:6" x14ac:dyDescent="0.25">
      <c r="E40" s="178" t="e">
        <f>#REF!+E35</f>
        <v>#REF!</v>
      </c>
    </row>
    <row r="41" spans="1:6" x14ac:dyDescent="0.25">
      <c r="E41" s="37">
        <v>5404048.4119999986</v>
      </c>
    </row>
    <row r="42" spans="1:6" x14ac:dyDescent="0.25">
      <c r="E42" s="178" t="e">
        <f>E40+E41</f>
        <v>#REF!</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EE0D4-F81E-461C-B8FE-EB622653F8FD}">
  <dimension ref="A1:I79"/>
  <sheetViews>
    <sheetView topLeftCell="A7" workbookViewId="0">
      <selection activeCell="A25" sqref="A25"/>
    </sheetView>
  </sheetViews>
  <sheetFormatPr defaultColWidth="9.140625" defaultRowHeight="15" x14ac:dyDescent="0.25"/>
  <cols>
    <col min="1" max="1" width="50.42578125" style="177" bestFit="1" customWidth="1"/>
    <col min="2" max="2" width="17.140625" style="177" bestFit="1" customWidth="1"/>
    <col min="3" max="3" width="13" style="177" bestFit="1" customWidth="1"/>
    <col min="4" max="6" width="12.7109375" style="177" bestFit="1" customWidth="1"/>
    <col min="7" max="7" width="13.7109375" style="177" customWidth="1"/>
    <col min="8" max="8" width="8.5703125" style="177" customWidth="1"/>
    <col min="9" max="16384" width="9.140625" style="177"/>
  </cols>
  <sheetData>
    <row r="1" spans="1:7" ht="23.25" x14ac:dyDescent="0.35">
      <c r="A1" s="1" t="s">
        <v>0</v>
      </c>
    </row>
    <row r="2" spans="1:7" ht="14.25" customHeight="1" x14ac:dyDescent="0.35">
      <c r="A2" s="1"/>
    </row>
    <row r="3" spans="1:7" ht="18.75" x14ac:dyDescent="0.3">
      <c r="A3" s="3" t="s">
        <v>79</v>
      </c>
      <c r="F3" s="4"/>
    </row>
    <row r="4" spans="1:7" ht="19.5" thickBot="1" x14ac:dyDescent="0.35">
      <c r="A4" s="96" t="s">
        <v>78</v>
      </c>
      <c r="B4" s="95">
        <v>2021</v>
      </c>
      <c r="C4" s="95">
        <v>2022</v>
      </c>
      <c r="D4" s="95">
        <v>2023</v>
      </c>
      <c r="E4" s="95">
        <v>2024</v>
      </c>
      <c r="F4" s="95">
        <v>2025</v>
      </c>
      <c r="G4" s="257" t="s">
        <v>262</v>
      </c>
    </row>
    <row r="5" spans="1:7" x14ac:dyDescent="0.25">
      <c r="A5" s="236" t="s">
        <v>3</v>
      </c>
      <c r="B5" s="8">
        <f>B6+B7+B8</f>
        <v>100619070.97258212</v>
      </c>
      <c r="C5" s="8">
        <f>C6+C7+C8</f>
        <v>95995662.509452701</v>
      </c>
      <c r="D5" s="8">
        <f>D6+D7+D8</f>
        <v>102081730.30904037</v>
      </c>
      <c r="E5" s="8">
        <f>E6+E7+E8</f>
        <v>127211469.46475835</v>
      </c>
      <c r="F5" s="8">
        <f>F6+F7+F8</f>
        <v>129952735.91202416</v>
      </c>
      <c r="G5" s="258">
        <f>F5/1000000</f>
        <v>129.95273591202417</v>
      </c>
    </row>
    <row r="6" spans="1:7" x14ac:dyDescent="0.25">
      <c r="A6" s="235" t="s">
        <v>261</v>
      </c>
      <c r="B6" s="12">
        <v>80286607.755102038</v>
      </c>
      <c r="C6" s="12">
        <v>69613704.081632659</v>
      </c>
      <c r="D6" s="12">
        <v>71889997.551020399</v>
      </c>
      <c r="E6" s="12">
        <v>92359314.795918375</v>
      </c>
      <c r="F6" s="12">
        <v>88708305.510204077</v>
      </c>
      <c r="G6" s="258">
        <f>F6/1000000</f>
        <v>88.70830551020407</v>
      </c>
    </row>
    <row r="7" spans="1:7" x14ac:dyDescent="0.25">
      <c r="A7" s="16" t="s">
        <v>6</v>
      </c>
      <c r="B7" s="17">
        <v>1865538.3670000001</v>
      </c>
      <c r="C7" s="12">
        <v>6307984</v>
      </c>
      <c r="D7" s="12">
        <v>12215537</v>
      </c>
      <c r="E7" s="12">
        <v>17414020.651999999</v>
      </c>
      <c r="F7" s="17">
        <v>23092405.579</v>
      </c>
      <c r="G7" s="258">
        <f t="shared" ref="G7:G11" si="0">F7/1000000</f>
        <v>23.092405579000001</v>
      </c>
    </row>
    <row r="8" spans="1:7" x14ac:dyDescent="0.25">
      <c r="A8" s="19" t="s">
        <v>8</v>
      </c>
      <c r="B8" s="20">
        <v>18466924.850480083</v>
      </c>
      <c r="C8" s="20">
        <v>20073974.427820042</v>
      </c>
      <c r="D8" s="20">
        <v>17976195.758019969</v>
      </c>
      <c r="E8" s="20">
        <v>17438134.016839977</v>
      </c>
      <c r="F8" s="20">
        <v>18152024.822820082</v>
      </c>
      <c r="G8" s="258">
        <f t="shared" si="0"/>
        <v>18.152024822820081</v>
      </c>
    </row>
    <row r="9" spans="1:7" x14ac:dyDescent="0.25">
      <c r="A9" s="236" t="s">
        <v>10</v>
      </c>
      <c r="B9" s="8">
        <f>B10+B11</f>
        <v>10278412.927553762</v>
      </c>
      <c r="C9" s="8">
        <f>C10+C11</f>
        <v>9080920.5813039858</v>
      </c>
      <c r="D9" s="8">
        <f>D10+D11</f>
        <v>11933606.483204607</v>
      </c>
      <c r="E9" s="8">
        <f>E10+E11</f>
        <v>11054581.478885971</v>
      </c>
      <c r="F9" s="8">
        <f>F10+F11</f>
        <v>8764475.9943367317</v>
      </c>
      <c r="G9" s="258">
        <f t="shared" si="0"/>
        <v>8.7644759943367312</v>
      </c>
    </row>
    <row r="10" spans="1:7" x14ac:dyDescent="0.25">
      <c r="A10" s="235" t="s">
        <v>11</v>
      </c>
      <c r="B10" s="17">
        <v>7065454.1780337477</v>
      </c>
      <c r="C10" s="17">
        <v>5588360.1091239769</v>
      </c>
      <c r="D10" s="17">
        <v>8688936.0412246138</v>
      </c>
      <c r="E10" s="17">
        <v>7804455.8957259776</v>
      </c>
      <c r="F10" s="17">
        <v>5360836.6171567142</v>
      </c>
      <c r="G10" s="258">
        <f t="shared" si="0"/>
        <v>5.3608366171567141</v>
      </c>
    </row>
    <row r="11" spans="1:7" x14ac:dyDescent="0.25">
      <c r="A11" s="25" t="s">
        <v>13</v>
      </c>
      <c r="B11" s="26">
        <v>3212958.749520015</v>
      </c>
      <c r="C11" s="26">
        <v>3492560.4721800089</v>
      </c>
      <c r="D11" s="26">
        <v>3244670.4419799931</v>
      </c>
      <c r="E11" s="26">
        <v>3250125.5831599943</v>
      </c>
      <c r="F11" s="26">
        <v>3403639.3771800175</v>
      </c>
      <c r="G11" s="258">
        <f t="shared" si="0"/>
        <v>3.4036393771800175</v>
      </c>
    </row>
    <row r="12" spans="1:7" x14ac:dyDescent="0.25">
      <c r="A12" s="29" t="s">
        <v>15</v>
      </c>
      <c r="B12" s="30">
        <f>B5+B9</f>
        <v>110897483.90013587</v>
      </c>
      <c r="C12" s="30">
        <f>C5+C9</f>
        <v>105076583.09075668</v>
      </c>
      <c r="D12" s="30">
        <f>D5+D9</f>
        <v>114015336.79224497</v>
      </c>
      <c r="E12" s="30">
        <f>E5+E9</f>
        <v>138266050.94364432</v>
      </c>
      <c r="F12" s="30">
        <f>F5+F9</f>
        <v>138717211.90636089</v>
      </c>
    </row>
    <row r="13" spans="1:7" x14ac:dyDescent="0.25">
      <c r="A13" s="33" t="s">
        <v>16</v>
      </c>
      <c r="B13" s="34">
        <f>B12-B16</f>
        <v>6192199.0621357858</v>
      </c>
      <c r="C13" s="34">
        <f>C12-C16</f>
        <v>6884340.2657566816</v>
      </c>
      <c r="D13" s="34">
        <f>D12-D16</f>
        <v>8451210.686244905</v>
      </c>
      <c r="E13" s="34">
        <f>E12-E16</f>
        <v>11466399.911644191</v>
      </c>
      <c r="F13" s="34">
        <f>F12-F16</f>
        <v>13019692.678360984</v>
      </c>
    </row>
    <row r="14" spans="1:7" x14ac:dyDescent="0.25">
      <c r="A14" s="33" t="s">
        <v>19</v>
      </c>
      <c r="B14" s="34">
        <f>B13-B15</f>
        <v>5841152.0621357858</v>
      </c>
      <c r="C14" s="34">
        <f>C13-C15</f>
        <v>5728808.2657566816</v>
      </c>
      <c r="D14" s="34">
        <f>D13-D15</f>
        <v>5587024.2062449045</v>
      </c>
      <c r="E14" s="34">
        <f>E13-E15</f>
        <v>6062351.4996441919</v>
      </c>
      <c r="F14" s="34">
        <f>F13-F15</f>
        <v>5943744.4903609827</v>
      </c>
    </row>
    <row r="15" spans="1:7" x14ac:dyDescent="0.25">
      <c r="A15" s="123" t="s">
        <v>20</v>
      </c>
      <c r="B15" s="37">
        <v>351047</v>
      </c>
      <c r="C15" s="37">
        <v>1155532</v>
      </c>
      <c r="D15" s="37">
        <v>2864186.4800000004</v>
      </c>
      <c r="E15" s="37">
        <v>5404048.4119999986</v>
      </c>
      <c r="F15" s="37">
        <v>7075948.188000001</v>
      </c>
    </row>
    <row r="16" spans="1:7" x14ac:dyDescent="0.25">
      <c r="A16" s="33" t="s">
        <v>265</v>
      </c>
      <c r="B16" s="30">
        <v>104705284.83800009</v>
      </c>
      <c r="C16" s="30">
        <v>98192242.825000003</v>
      </c>
      <c r="D16" s="30">
        <v>105564126.10600007</v>
      </c>
      <c r="E16" s="30">
        <v>126799651.03200012</v>
      </c>
      <c r="F16" s="30">
        <v>125697519.22799991</v>
      </c>
      <c r="G16" s="177">
        <f>F16/1000000</f>
        <v>125.6975192279999</v>
      </c>
    </row>
    <row r="17" spans="1:9" x14ac:dyDescent="0.25">
      <c r="A17" s="255" t="s">
        <v>264</v>
      </c>
      <c r="B17" s="256"/>
      <c r="C17" s="256"/>
      <c r="D17" s="256"/>
      <c r="E17" s="256"/>
      <c r="F17" s="178">
        <f>F18+F19</f>
        <v>450417840</v>
      </c>
      <c r="G17" s="177">
        <f>F17/1000000</f>
        <v>450.41784000000001</v>
      </c>
    </row>
    <row r="18" spans="1:9" x14ac:dyDescent="0.25">
      <c r="A18" s="236" t="s">
        <v>23</v>
      </c>
      <c r="B18" s="8">
        <v>426887150</v>
      </c>
      <c r="C18" s="8">
        <v>461422530</v>
      </c>
      <c r="D18" s="8">
        <v>445409760</v>
      </c>
      <c r="E18" s="8">
        <v>434152940</v>
      </c>
      <c r="F18" s="8">
        <v>450527770</v>
      </c>
    </row>
    <row r="19" spans="1:9" x14ac:dyDescent="0.25">
      <c r="A19" s="29" t="s">
        <v>25</v>
      </c>
      <c r="B19" s="8">
        <v>-20700</v>
      </c>
      <c r="C19" s="8">
        <v>-30880</v>
      </c>
      <c r="D19" s="8">
        <v>-29660</v>
      </c>
      <c r="E19" s="8">
        <v>-27370</v>
      </c>
      <c r="F19" s="8">
        <v>-109930</v>
      </c>
    </row>
    <row r="20" spans="1:9" x14ac:dyDescent="0.25">
      <c r="A20" s="42" t="s">
        <v>27</v>
      </c>
      <c r="B20" s="43">
        <f>B16+B18+B19</f>
        <v>531571734.83800006</v>
      </c>
      <c r="C20" s="43">
        <f>C16+C18+C19</f>
        <v>559583892.82500005</v>
      </c>
      <c r="D20" s="43">
        <f t="shared" ref="D20:F20" si="1">D16+D18+D19</f>
        <v>550944226.10600007</v>
      </c>
      <c r="E20" s="43">
        <f>E16+E18+E19</f>
        <v>560925221.03200006</v>
      </c>
      <c r="F20" s="43">
        <f t="shared" si="1"/>
        <v>576115359.22799993</v>
      </c>
    </row>
    <row r="21" spans="1:9" x14ac:dyDescent="0.25">
      <c r="A21" s="48"/>
      <c r="B21" s="49"/>
      <c r="C21" s="49"/>
      <c r="D21" s="49"/>
      <c r="E21" s="49"/>
      <c r="F21" s="49"/>
    </row>
    <row r="22" spans="1:9" x14ac:dyDescent="0.25">
      <c r="A22" s="236" t="s">
        <v>32</v>
      </c>
      <c r="B22" s="8">
        <f>B20-(B27+B56+B15)</f>
        <v>60055570.638000071</v>
      </c>
      <c r="C22" s="8">
        <f>C20-(C27+C56+C15)</f>
        <v>59949989.325000048</v>
      </c>
      <c r="D22" s="8">
        <f>D20-(D27+D56+D15)</f>
        <v>50638791.126000047</v>
      </c>
      <c r="E22" s="8">
        <f>E20-(E27+E56+E15)</f>
        <v>38132008.590000093</v>
      </c>
      <c r="F22" s="8">
        <f>F20-(F27+F56+F15)</f>
        <v>27715261.039999962</v>
      </c>
    </row>
    <row r="23" spans="1:9" x14ac:dyDescent="0.25">
      <c r="A23" s="54" t="s">
        <v>266</v>
      </c>
      <c r="B23" s="55">
        <f>B22/B20</f>
        <v>0.11297735884377373</v>
      </c>
      <c r="C23" s="55">
        <f>C22/C20</f>
        <v>0.10713315750092246</v>
      </c>
      <c r="D23" s="55">
        <f>D22/D20</f>
        <v>9.1912735856963662E-2</v>
      </c>
      <c r="E23" s="55">
        <f>E22/E20</f>
        <v>6.7980556338408452E-2</v>
      </c>
      <c r="F23" s="55">
        <f>F22/F20</f>
        <v>4.8107137912689356E-2</v>
      </c>
    </row>
    <row r="24" spans="1:9" x14ac:dyDescent="0.25">
      <c r="A24" s="239" t="s">
        <v>32</v>
      </c>
      <c r="B24" s="240">
        <f>B20-(B27+B56+B15+B13)</f>
        <v>53863371.575864315</v>
      </c>
      <c r="C24" s="240">
        <f>C20-(C27+C56+C15+C13)</f>
        <v>53065649.059243381</v>
      </c>
      <c r="D24" s="240">
        <f>D20-(D27+D56+D15+D13)</f>
        <v>42187580.439755142</v>
      </c>
      <c r="E24" s="240">
        <f>E20-(E27+E56+E15+E13)</f>
        <v>26665608.678355932</v>
      </c>
      <c r="F24" s="240">
        <f>F20-(F27+F56+F15+F13)</f>
        <v>14695568.361639023</v>
      </c>
    </row>
    <row r="25" spans="1:9" x14ac:dyDescent="0.25">
      <c r="A25" s="241" t="s">
        <v>267</v>
      </c>
      <c r="B25" s="242">
        <f>B24/B20</f>
        <v>0.10132850948570381</v>
      </c>
      <c r="C25" s="242">
        <f>C24/C20</f>
        <v>9.4830551307234862E-2</v>
      </c>
      <c r="D25" s="242">
        <f>D24/D20</f>
        <v>7.6573232717096082E-2</v>
      </c>
      <c r="E25" s="242">
        <f>E24/E20</f>
        <v>4.7538615983956076E-2</v>
      </c>
      <c r="F25" s="242">
        <f>F24/F20</f>
        <v>2.5508030859186299E-2</v>
      </c>
    </row>
    <row r="27" spans="1:9" x14ac:dyDescent="0.25">
      <c r="A27" s="61" t="s">
        <v>38</v>
      </c>
      <c r="B27" s="100">
        <f>B28+B42+B49</f>
        <v>470425929.19999999</v>
      </c>
      <c r="C27" s="100">
        <f>C28+C42+C49</f>
        <v>496947116.5</v>
      </c>
      <c r="D27" s="100">
        <f>D28+D42+D49</f>
        <v>495864907.5</v>
      </c>
      <c r="E27" s="100">
        <f>E28+E42+E49</f>
        <v>515197581.02999997</v>
      </c>
      <c r="F27" s="100">
        <f>F28+F42+F49</f>
        <v>531862451</v>
      </c>
    </row>
    <row r="28" spans="1:9" x14ac:dyDescent="0.25">
      <c r="A28" s="64" t="s">
        <v>39</v>
      </c>
      <c r="B28" s="65">
        <f>SUM(B29:B41)</f>
        <v>11117575</v>
      </c>
      <c r="C28" s="65">
        <f>SUM(C29:C41)</f>
        <v>11823474</v>
      </c>
      <c r="D28" s="66">
        <f>SUM(D29:D41)</f>
        <v>12428377</v>
      </c>
      <c r="E28" s="66">
        <f>SUM(E29:E41)</f>
        <v>13740940</v>
      </c>
      <c r="F28" s="66">
        <f>SUM(F29:F41)</f>
        <v>14227992</v>
      </c>
    </row>
    <row r="29" spans="1:9" x14ac:dyDescent="0.25">
      <c r="A29" s="69" t="s">
        <v>40</v>
      </c>
      <c r="B29" s="70">
        <v>9604</v>
      </c>
      <c r="C29" s="70">
        <v>9453</v>
      </c>
      <c r="D29" s="71">
        <v>8580</v>
      </c>
      <c r="E29" s="71">
        <v>8731</v>
      </c>
      <c r="F29" s="71">
        <v>11278</v>
      </c>
      <c r="I29" s="18"/>
    </row>
    <row r="30" spans="1:9" x14ac:dyDescent="0.25">
      <c r="A30" s="69" t="s">
        <v>41</v>
      </c>
      <c r="B30" s="70" t="s">
        <v>17</v>
      </c>
      <c r="C30" s="70" t="s">
        <v>17</v>
      </c>
      <c r="D30" s="74" t="s">
        <v>17</v>
      </c>
      <c r="E30" s="71" t="s">
        <v>17</v>
      </c>
      <c r="F30" s="71" t="s">
        <v>17</v>
      </c>
    </row>
    <row r="31" spans="1:9" x14ac:dyDescent="0.25">
      <c r="A31" s="69" t="s">
        <v>42</v>
      </c>
      <c r="B31" s="70" t="s">
        <v>17</v>
      </c>
      <c r="C31" s="70" t="s">
        <v>17</v>
      </c>
      <c r="D31" s="71" t="s">
        <v>17</v>
      </c>
      <c r="E31" s="71" t="s">
        <v>17</v>
      </c>
      <c r="F31" s="71" t="s">
        <v>17</v>
      </c>
    </row>
    <row r="32" spans="1:9" x14ac:dyDescent="0.25">
      <c r="A32" s="69" t="s">
        <v>43</v>
      </c>
      <c r="B32" s="70">
        <v>599973</v>
      </c>
      <c r="C32" s="70">
        <v>624831</v>
      </c>
      <c r="D32" s="71">
        <v>618754</v>
      </c>
      <c r="E32" s="71">
        <v>651552</v>
      </c>
      <c r="F32" s="71">
        <v>679841</v>
      </c>
    </row>
    <row r="33" spans="1:6" x14ac:dyDescent="0.25">
      <c r="A33" s="69" t="s">
        <v>44</v>
      </c>
      <c r="B33" s="70">
        <v>17609</v>
      </c>
      <c r="C33" s="70">
        <v>17897</v>
      </c>
      <c r="D33" s="71">
        <v>18149</v>
      </c>
      <c r="E33" s="71">
        <v>19288</v>
      </c>
      <c r="F33" s="71">
        <v>25413</v>
      </c>
    </row>
    <row r="34" spans="1:6" x14ac:dyDescent="0.25">
      <c r="A34" s="69" t="s">
        <v>45</v>
      </c>
      <c r="B34" s="70">
        <v>1311984</v>
      </c>
      <c r="C34" s="70">
        <v>1621374</v>
      </c>
      <c r="D34" s="71">
        <v>1601839</v>
      </c>
      <c r="E34" s="71">
        <v>1655290</v>
      </c>
      <c r="F34" s="71">
        <v>1709625</v>
      </c>
    </row>
    <row r="35" spans="1:6" x14ac:dyDescent="0.25">
      <c r="A35" s="69" t="s">
        <v>46</v>
      </c>
      <c r="B35" s="70" t="s">
        <v>17</v>
      </c>
      <c r="C35" s="70" t="s">
        <v>17</v>
      </c>
      <c r="D35" s="71" t="s">
        <v>17</v>
      </c>
      <c r="E35" s="71" t="s">
        <v>17</v>
      </c>
      <c r="F35" s="71" t="s">
        <v>17</v>
      </c>
    </row>
    <row r="36" spans="1:6" x14ac:dyDescent="0.25">
      <c r="A36" s="69" t="s">
        <v>47</v>
      </c>
      <c r="B36" s="70">
        <v>1988760</v>
      </c>
      <c r="C36" s="70">
        <v>2357326</v>
      </c>
      <c r="D36" s="71">
        <v>2687074</v>
      </c>
      <c r="E36" s="71">
        <v>2531044</v>
      </c>
      <c r="F36" s="71">
        <v>2410906</v>
      </c>
    </row>
    <row r="37" spans="1:6" x14ac:dyDescent="0.25">
      <c r="A37" s="69" t="s">
        <v>48</v>
      </c>
      <c r="B37" s="70">
        <v>380227</v>
      </c>
      <c r="C37" s="70">
        <v>329369</v>
      </c>
      <c r="D37" s="71">
        <v>293100</v>
      </c>
      <c r="E37" s="71">
        <v>352960</v>
      </c>
      <c r="F37" s="71">
        <v>416695</v>
      </c>
    </row>
    <row r="38" spans="1:6" x14ac:dyDescent="0.25">
      <c r="A38" s="69" t="s">
        <v>49</v>
      </c>
      <c r="B38" s="70">
        <v>403898</v>
      </c>
      <c r="C38" s="70">
        <v>395892</v>
      </c>
      <c r="D38" s="71">
        <v>376801</v>
      </c>
      <c r="E38" s="71">
        <v>398326</v>
      </c>
      <c r="F38" s="71">
        <v>409487</v>
      </c>
    </row>
    <row r="39" spans="1:6" x14ac:dyDescent="0.25">
      <c r="A39" s="69" t="s">
        <v>50</v>
      </c>
      <c r="B39" s="70">
        <v>105810</v>
      </c>
      <c r="C39" s="70">
        <v>87239</v>
      </c>
      <c r="D39" s="71">
        <v>69661</v>
      </c>
      <c r="E39" s="71">
        <v>70595</v>
      </c>
      <c r="F39" s="71">
        <v>76954</v>
      </c>
    </row>
    <row r="40" spans="1:6" x14ac:dyDescent="0.25">
      <c r="A40" s="69" t="s">
        <v>51</v>
      </c>
      <c r="B40" s="70">
        <v>4496784</v>
      </c>
      <c r="C40" s="70">
        <v>4530889</v>
      </c>
      <c r="D40" s="71">
        <v>4997431</v>
      </c>
      <c r="E40" s="71">
        <v>6196638</v>
      </c>
      <c r="F40" s="71">
        <v>6636859</v>
      </c>
    </row>
    <row r="41" spans="1:6" x14ac:dyDescent="0.25">
      <c r="A41" s="69" t="s">
        <v>52</v>
      </c>
      <c r="B41" s="70">
        <v>1802926</v>
      </c>
      <c r="C41" s="70">
        <v>1849204</v>
      </c>
      <c r="D41" s="71">
        <v>1756988</v>
      </c>
      <c r="E41" s="71">
        <v>1856516</v>
      </c>
      <c r="F41" s="71">
        <v>1850934</v>
      </c>
    </row>
    <row r="42" spans="1:6" x14ac:dyDescent="0.25">
      <c r="A42" s="64" t="s">
        <v>53</v>
      </c>
      <c r="B42" s="66">
        <f>SUM(B43:B48)</f>
        <v>12033306</v>
      </c>
      <c r="C42" s="66">
        <f>SUM(C43:C48)</f>
        <v>14206055</v>
      </c>
      <c r="D42" s="66">
        <f>SUM(D43:D48)</f>
        <v>11604262</v>
      </c>
      <c r="E42" s="66">
        <f>SUM(E43:E48)</f>
        <v>6951303</v>
      </c>
      <c r="F42" s="66">
        <f>SUM(F43:F48)</f>
        <v>7223013</v>
      </c>
    </row>
    <row r="43" spans="1:6" x14ac:dyDescent="0.25">
      <c r="A43" s="69" t="s">
        <v>54</v>
      </c>
      <c r="B43" s="70">
        <v>6449029</v>
      </c>
      <c r="C43" s="70">
        <v>8867091</v>
      </c>
      <c r="D43" s="71">
        <v>6974949</v>
      </c>
      <c r="E43" s="71">
        <v>2209203</v>
      </c>
      <c r="F43" s="71">
        <v>2148783</v>
      </c>
    </row>
    <row r="44" spans="1:6" x14ac:dyDescent="0.25">
      <c r="A44" s="69" t="s">
        <v>55</v>
      </c>
      <c r="B44" s="70" t="s">
        <v>17</v>
      </c>
      <c r="C44" s="70" t="s">
        <v>17</v>
      </c>
      <c r="D44" s="71" t="s">
        <v>17</v>
      </c>
      <c r="E44" s="71" t="s">
        <v>17</v>
      </c>
      <c r="F44" s="71" t="s">
        <v>17</v>
      </c>
    </row>
    <row r="45" spans="1:6" x14ac:dyDescent="0.25">
      <c r="A45" s="69" t="s">
        <v>56</v>
      </c>
      <c r="B45" s="70">
        <v>28822</v>
      </c>
      <c r="C45" s="70">
        <v>28619</v>
      </c>
      <c r="D45" s="71">
        <v>26664</v>
      </c>
      <c r="E45" s="71">
        <v>26348</v>
      </c>
      <c r="F45" s="71">
        <v>26507</v>
      </c>
    </row>
    <row r="46" spans="1:6" x14ac:dyDescent="0.25">
      <c r="A46" s="69" t="s">
        <v>57</v>
      </c>
      <c r="B46" s="70" t="s">
        <v>17</v>
      </c>
      <c r="C46" s="70" t="s">
        <v>17</v>
      </c>
      <c r="D46" s="71" t="s">
        <v>17</v>
      </c>
      <c r="E46" s="71" t="s">
        <v>17</v>
      </c>
      <c r="F46" s="71" t="s">
        <v>17</v>
      </c>
    </row>
    <row r="47" spans="1:6" x14ac:dyDescent="0.25">
      <c r="A47" s="69" t="s">
        <v>58</v>
      </c>
      <c r="B47" s="70" t="s">
        <v>17</v>
      </c>
      <c r="C47" s="70"/>
      <c r="D47" s="71" t="s">
        <v>17</v>
      </c>
      <c r="E47" s="71">
        <v>663</v>
      </c>
      <c r="F47" s="71">
        <v>2038</v>
      </c>
    </row>
    <row r="48" spans="1:6" x14ac:dyDescent="0.25">
      <c r="A48" s="69" t="s">
        <v>59</v>
      </c>
      <c r="B48" s="70">
        <v>5555455</v>
      </c>
      <c r="C48" s="70">
        <v>5310345</v>
      </c>
      <c r="D48" s="71">
        <v>4602649</v>
      </c>
      <c r="E48" s="71">
        <v>4715089</v>
      </c>
      <c r="F48" s="71">
        <v>5045685</v>
      </c>
    </row>
    <row r="49" spans="1:6" x14ac:dyDescent="0.25">
      <c r="A49" s="64" t="s">
        <v>60</v>
      </c>
      <c r="B49" s="66">
        <f>SUM(B50:B54)</f>
        <v>447275048.19999999</v>
      </c>
      <c r="C49" s="66">
        <f>SUM(C50:C54)</f>
        <v>470917587.5</v>
      </c>
      <c r="D49" s="66">
        <f>SUM(D50:D54)</f>
        <v>471832268.5</v>
      </c>
      <c r="E49" s="66">
        <f>SUM(E50:E54)</f>
        <v>494505338.02999997</v>
      </c>
      <c r="F49" s="66">
        <f>SUM(F50:F54)</f>
        <v>510411446</v>
      </c>
    </row>
    <row r="50" spans="1:6" x14ac:dyDescent="0.25">
      <c r="A50" s="69" t="s">
        <v>61</v>
      </c>
      <c r="B50" s="70">
        <v>148687</v>
      </c>
      <c r="C50" s="70">
        <v>138948</v>
      </c>
      <c r="D50" s="71">
        <v>121294</v>
      </c>
      <c r="E50" s="71">
        <v>119800</v>
      </c>
      <c r="F50" s="71">
        <v>166331</v>
      </c>
    </row>
    <row r="51" spans="1:6" x14ac:dyDescent="0.25">
      <c r="A51" s="69" t="s">
        <v>62</v>
      </c>
      <c r="B51" s="70">
        <v>75716</v>
      </c>
      <c r="C51" s="70">
        <v>102019</v>
      </c>
      <c r="D51" s="71">
        <v>77543</v>
      </c>
      <c r="E51" s="71">
        <v>98518</v>
      </c>
      <c r="F51" s="71">
        <v>92979</v>
      </c>
    </row>
    <row r="52" spans="1:6" x14ac:dyDescent="0.25">
      <c r="A52" s="78" t="s">
        <v>63</v>
      </c>
      <c r="B52" s="70">
        <v>267519966</v>
      </c>
      <c r="C52" s="70">
        <v>295570005</v>
      </c>
      <c r="D52" s="71">
        <v>295332462</v>
      </c>
      <c r="E52" s="71">
        <v>309129716</v>
      </c>
      <c r="F52" s="71">
        <v>317266447</v>
      </c>
    </row>
    <row r="53" spans="1:6" x14ac:dyDescent="0.25">
      <c r="A53" s="78" t="s">
        <v>64</v>
      </c>
      <c r="B53" s="70">
        <v>151508863</v>
      </c>
      <c r="C53" s="70">
        <v>148231863</v>
      </c>
      <c r="D53" s="71">
        <v>152795331</v>
      </c>
      <c r="E53" s="71">
        <v>161885488</v>
      </c>
      <c r="F53" s="71">
        <v>169835401</v>
      </c>
    </row>
    <row r="54" spans="1:6" x14ac:dyDescent="0.25">
      <c r="A54" s="69" t="s">
        <v>65</v>
      </c>
      <c r="B54" s="70">
        <v>28021816.199999999</v>
      </c>
      <c r="C54" s="70">
        <v>26874752.5</v>
      </c>
      <c r="D54" s="71">
        <v>23505638.5</v>
      </c>
      <c r="E54" s="71">
        <v>23271816.030000001</v>
      </c>
      <c r="F54" s="71">
        <v>23050288</v>
      </c>
    </row>
    <row r="56" spans="1:6" x14ac:dyDescent="0.25">
      <c r="A56" s="80" t="s">
        <v>66</v>
      </c>
      <c r="B56" s="82">
        <v>739188</v>
      </c>
      <c r="C56" s="82">
        <v>1531255</v>
      </c>
      <c r="D56" s="82">
        <v>1576341</v>
      </c>
      <c r="E56" s="82">
        <v>2191583</v>
      </c>
      <c r="F56" s="82">
        <v>9461699</v>
      </c>
    </row>
    <row r="57" spans="1:6" x14ac:dyDescent="0.25">
      <c r="A57" s="83" t="s">
        <v>67</v>
      </c>
      <c r="B57" s="84">
        <v>167151</v>
      </c>
      <c r="C57" s="84">
        <v>237172</v>
      </c>
      <c r="D57" s="84">
        <v>270740</v>
      </c>
      <c r="E57" s="84">
        <v>262020</v>
      </c>
      <c r="F57" s="84">
        <v>365730</v>
      </c>
    </row>
    <row r="58" spans="1:6" x14ac:dyDescent="0.25">
      <c r="A58" s="83" t="s">
        <v>68</v>
      </c>
      <c r="B58" s="84">
        <v>394371</v>
      </c>
      <c r="C58" s="84">
        <v>434015</v>
      </c>
      <c r="D58" s="84">
        <v>496806</v>
      </c>
      <c r="E58" s="84">
        <v>444372</v>
      </c>
      <c r="F58" s="84">
        <v>454456</v>
      </c>
    </row>
    <row r="63" spans="1:6" x14ac:dyDescent="0.25">
      <c r="E63" s="178">
        <f>E27+E56</f>
        <v>517389164.02999997</v>
      </c>
    </row>
    <row r="64" spans="1:6" x14ac:dyDescent="0.25">
      <c r="E64" s="37">
        <v>5404048.4119999986</v>
      </c>
    </row>
    <row r="65" spans="1:6" x14ac:dyDescent="0.25">
      <c r="E65" s="178">
        <f>E63+E64</f>
        <v>522793212.44199997</v>
      </c>
    </row>
    <row r="71" spans="1:6" ht="19.5" thickBot="1" x14ac:dyDescent="0.35">
      <c r="A71" s="96" t="s">
        <v>263</v>
      </c>
      <c r="B71" s="95">
        <v>2021</v>
      </c>
      <c r="C71" s="95">
        <v>2022</v>
      </c>
      <c r="D71" s="95">
        <v>2023</v>
      </c>
      <c r="E71" s="95">
        <v>2024</v>
      </c>
      <c r="F71" s="95">
        <v>2025</v>
      </c>
    </row>
    <row r="72" spans="1:6" x14ac:dyDescent="0.25">
      <c r="A72" s="236" t="s">
        <v>3</v>
      </c>
      <c r="B72" s="260">
        <f>B73+B74+B75</f>
        <v>100.61907097258212</v>
      </c>
      <c r="C72" s="260">
        <f>C73+C74+C75</f>
        <v>95.9956625094527</v>
      </c>
      <c r="D72" s="260">
        <f>D73+D74+D75</f>
        <v>102.08173030904037</v>
      </c>
      <c r="E72" s="260">
        <f>E73+E74+E75</f>
        <v>127.21146946475837</v>
      </c>
      <c r="F72" s="260">
        <f>F73+F74+F75</f>
        <v>129.95273591202414</v>
      </c>
    </row>
    <row r="73" spans="1:6" x14ac:dyDescent="0.25">
      <c r="A73" s="235" t="s">
        <v>261</v>
      </c>
      <c r="B73" s="259">
        <f>B6/1000000</f>
        <v>80.28660775510204</v>
      </c>
      <c r="C73" s="259">
        <f t="shared" ref="C73:F73" si="2">C6/1000000</f>
        <v>69.613704081632662</v>
      </c>
      <c r="D73" s="259">
        <f t="shared" si="2"/>
        <v>71.8899975510204</v>
      </c>
      <c r="E73" s="259">
        <f t="shared" si="2"/>
        <v>92.35931479591838</v>
      </c>
      <c r="F73" s="259">
        <f t="shared" si="2"/>
        <v>88.70830551020407</v>
      </c>
    </row>
    <row r="74" spans="1:6" x14ac:dyDescent="0.25">
      <c r="A74" s="16" t="s">
        <v>6</v>
      </c>
      <c r="B74" s="259">
        <f t="shared" ref="B74:F74" si="3">B7/1000000</f>
        <v>1.8655383670000001</v>
      </c>
      <c r="C74" s="259">
        <f t="shared" si="3"/>
        <v>6.3079840000000003</v>
      </c>
      <c r="D74" s="259">
        <f t="shared" si="3"/>
        <v>12.215536999999999</v>
      </c>
      <c r="E74" s="259">
        <f t="shared" si="3"/>
        <v>17.414020651999998</v>
      </c>
      <c r="F74" s="259">
        <f t="shared" si="3"/>
        <v>23.092405579000001</v>
      </c>
    </row>
    <row r="75" spans="1:6" x14ac:dyDescent="0.25">
      <c r="A75" s="19" t="s">
        <v>8</v>
      </c>
      <c r="B75" s="259">
        <f t="shared" ref="B75:F75" si="4">B8/1000000</f>
        <v>18.466924850480083</v>
      </c>
      <c r="C75" s="259">
        <f t="shared" si="4"/>
        <v>20.07397442782004</v>
      </c>
      <c r="D75" s="259">
        <f t="shared" si="4"/>
        <v>17.976195758019969</v>
      </c>
      <c r="E75" s="259">
        <f t="shared" si="4"/>
        <v>17.438134016839978</v>
      </c>
      <c r="F75" s="259">
        <f t="shared" si="4"/>
        <v>18.152024822820081</v>
      </c>
    </row>
    <row r="76" spans="1:6" x14ac:dyDescent="0.25">
      <c r="A76" s="236" t="s">
        <v>10</v>
      </c>
      <c r="B76" s="260">
        <f>B77+B78</f>
        <v>10.278412927553763</v>
      </c>
      <c r="C76" s="260">
        <f>C77+C78</f>
        <v>9.0809205813039853</v>
      </c>
      <c r="D76" s="260">
        <f>D77+D78</f>
        <v>11.933606483204606</v>
      </c>
      <c r="E76" s="260">
        <f>E77+E78</f>
        <v>11.054581478885972</v>
      </c>
      <c r="F76" s="260">
        <f>F77+F78</f>
        <v>8.7644759943367312</v>
      </c>
    </row>
    <row r="77" spans="1:6" x14ac:dyDescent="0.25">
      <c r="A77" s="235" t="s">
        <v>11</v>
      </c>
      <c r="B77" s="259">
        <f>B10/1000000</f>
        <v>7.0654541780337476</v>
      </c>
      <c r="C77" s="259">
        <f t="shared" ref="C77:F78" si="5">C10/1000000</f>
        <v>5.5883601091239772</v>
      </c>
      <c r="D77" s="259">
        <f t="shared" si="5"/>
        <v>8.688936041224613</v>
      </c>
      <c r="E77" s="259">
        <f t="shared" si="5"/>
        <v>7.8044558957259778</v>
      </c>
      <c r="F77" s="259">
        <f t="shared" si="5"/>
        <v>5.3608366171567141</v>
      </c>
    </row>
    <row r="78" spans="1:6" x14ac:dyDescent="0.25">
      <c r="A78" s="25" t="s">
        <v>13</v>
      </c>
      <c r="B78" s="259">
        <f>B11/1000000</f>
        <v>3.2129587495200149</v>
      </c>
      <c r="C78" s="259">
        <f t="shared" si="5"/>
        <v>3.492560472180009</v>
      </c>
      <c r="D78" s="259">
        <f t="shared" si="5"/>
        <v>3.2446704419799932</v>
      </c>
      <c r="E78" s="259">
        <f t="shared" si="5"/>
        <v>3.2501255831599942</v>
      </c>
      <c r="F78" s="259">
        <f t="shared" si="5"/>
        <v>3.4036393771800175</v>
      </c>
    </row>
    <row r="79" spans="1:6" x14ac:dyDescent="0.25">
      <c r="A79" s="29" t="s">
        <v>15</v>
      </c>
      <c r="B79" s="261">
        <f>B72+B76</f>
        <v>110.89748390013588</v>
      </c>
      <c r="C79" s="261">
        <f>C72+C76</f>
        <v>105.07658309075669</v>
      </c>
      <c r="D79" s="261">
        <f>D72+D76</f>
        <v>114.01533679224497</v>
      </c>
      <c r="E79" s="261">
        <f>E72+E76</f>
        <v>138.26605094364433</v>
      </c>
      <c r="F79" s="261">
        <f>F72+F76</f>
        <v>138.71721190636086</v>
      </c>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1D053-ECFF-48FE-A887-17F4BF3ED76A}">
  <sheetPr>
    <tabColor rgb="FFFF0000"/>
  </sheetPr>
  <dimension ref="A1:I22"/>
  <sheetViews>
    <sheetView zoomScale="145" zoomScaleNormal="145" workbookViewId="0">
      <selection activeCell="B20" sqref="B20"/>
    </sheetView>
  </sheetViews>
  <sheetFormatPr defaultRowHeight="15" x14ac:dyDescent="0.25"/>
  <cols>
    <col min="1" max="1" width="49.5703125" customWidth="1"/>
    <col min="2" max="2" width="35" customWidth="1"/>
    <col min="3" max="3" width="60.5703125" bestFit="1" customWidth="1"/>
  </cols>
  <sheetData>
    <row r="1" spans="1:9" ht="21.75" thickBot="1" x14ac:dyDescent="0.4">
      <c r="A1" s="227" t="s">
        <v>258</v>
      </c>
      <c r="B1" s="287" t="s">
        <v>233</v>
      </c>
      <c r="C1" s="287"/>
    </row>
    <row r="2" spans="1:9" ht="15.75" customHeight="1" x14ac:dyDescent="0.25">
      <c r="A2" s="288" t="s">
        <v>220</v>
      </c>
      <c r="B2" s="244">
        <f>Produccio2_dades_OECC!F5/Produccio2_dades_OECC!F12</f>
        <v>0.93681767479400413</v>
      </c>
      <c r="C2" s="245" t="s">
        <v>221</v>
      </c>
    </row>
    <row r="3" spans="1:9" x14ac:dyDescent="0.25">
      <c r="A3" s="288"/>
      <c r="B3" s="244">
        <f>Produccio2_dades_OECC!F5/Produccio2_dades_OECC!F19</f>
        <v>0.22556721293832899</v>
      </c>
      <c r="C3" s="245" t="s">
        <v>222</v>
      </c>
    </row>
    <row r="4" spans="1:9" x14ac:dyDescent="0.25">
      <c r="A4" s="289"/>
      <c r="B4" s="246">
        <f>Produccio2_dades_OECC!F5/(Produccio2_dades_OECC!F32+Produccio2_dades_OECC!F61+Produccio2_dades_OECC!F15)</f>
        <v>0.23696701795168965</v>
      </c>
      <c r="C4" s="247" t="s">
        <v>223</v>
      </c>
    </row>
    <row r="5" spans="1:9" x14ac:dyDescent="0.25">
      <c r="A5" s="248" t="s">
        <v>224</v>
      </c>
      <c r="B5" s="244">
        <f>Produccio2_dades_OECC!F6/Produccio2_dades_OECC!F19</f>
        <v>0.15397663695179739</v>
      </c>
      <c r="C5" s="245" t="s">
        <v>255</v>
      </c>
      <c r="D5" t="s">
        <v>232</v>
      </c>
    </row>
    <row r="6" spans="1:9" x14ac:dyDescent="0.25">
      <c r="A6" s="248" t="s">
        <v>225</v>
      </c>
      <c r="B6" s="249" t="s">
        <v>17</v>
      </c>
      <c r="C6" s="248" t="s">
        <v>17</v>
      </c>
      <c r="D6" s="177" t="s">
        <v>232</v>
      </c>
    </row>
    <row r="7" spans="1:9" x14ac:dyDescent="0.25">
      <c r="A7" s="248" t="s">
        <v>226</v>
      </c>
      <c r="B7" s="244">
        <f>Produccio2_dades_OECC!F7/Produccio2_dades_OECC!F19</f>
        <v>4.0082954236707116E-2</v>
      </c>
      <c r="C7" s="250" t="s">
        <v>234</v>
      </c>
      <c r="D7" s="177" t="s">
        <v>232</v>
      </c>
    </row>
    <row r="8" spans="1:9" x14ac:dyDescent="0.25">
      <c r="A8" s="248" t="s">
        <v>227</v>
      </c>
      <c r="B8" s="244">
        <f>(Produccio2_dades_OECC!F10+Produccio2_dades_OECC!F11)/Produccio2_dades_OECC!F19</f>
        <v>1.5213057339907085E-2</v>
      </c>
      <c r="C8" s="250" t="s">
        <v>236</v>
      </c>
      <c r="D8" s="177" t="s">
        <v>235</v>
      </c>
    </row>
    <row r="9" spans="1:9" x14ac:dyDescent="0.25">
      <c r="A9" s="248" t="s">
        <v>228</v>
      </c>
      <c r="B9" s="249" t="s">
        <v>17</v>
      </c>
      <c r="C9" s="248" t="s">
        <v>17</v>
      </c>
      <c r="D9" s="177" t="s">
        <v>232</v>
      </c>
    </row>
    <row r="10" spans="1:9" x14ac:dyDescent="0.25">
      <c r="A10" s="248" t="s">
        <v>229</v>
      </c>
      <c r="B10" s="249" t="s">
        <v>17</v>
      </c>
      <c r="C10" s="248" t="s">
        <v>17</v>
      </c>
      <c r="D10" s="177" t="s">
        <v>232</v>
      </c>
    </row>
    <row r="11" spans="1:9" x14ac:dyDescent="0.25">
      <c r="A11" s="248" t="s">
        <v>230</v>
      </c>
      <c r="B11" s="249" t="s">
        <v>17</v>
      </c>
      <c r="C11" s="248" t="s">
        <v>17</v>
      </c>
      <c r="D11" s="177" t="s">
        <v>232</v>
      </c>
    </row>
    <row r="12" spans="1:9" x14ac:dyDescent="0.25">
      <c r="A12" s="251" t="s">
        <v>231</v>
      </c>
      <c r="B12" s="246">
        <f>Produccio2_dades_OECC!F8/Produccio2_dades_OECC!F19</f>
        <v>3.1507621749824494E-2</v>
      </c>
      <c r="C12" s="247" t="s">
        <v>237</v>
      </c>
      <c r="D12" s="177" t="s">
        <v>232</v>
      </c>
    </row>
    <row r="13" spans="1:9" x14ac:dyDescent="0.25">
      <c r="A13" s="252" t="s">
        <v>238</v>
      </c>
      <c r="B13" s="244">
        <f>Produccio2_dades_OECC!F6/Produccio2_dades_OECC!F12</f>
        <v>0.63949025712890895</v>
      </c>
      <c r="C13" s="250" t="s">
        <v>244</v>
      </c>
    </row>
    <row r="14" spans="1:9" x14ac:dyDescent="0.25">
      <c r="A14" s="232" t="s">
        <v>239</v>
      </c>
      <c r="B14" s="232" t="s">
        <v>245</v>
      </c>
      <c r="C14" s="228" t="s">
        <v>246</v>
      </c>
      <c r="H14" s="233" t="s">
        <v>240</v>
      </c>
      <c r="I14" s="234">
        <f>Produccio2_dades_OECC!F6/Produccio2_dades_OECC!F12</f>
        <v>0.63949025712890895</v>
      </c>
    </row>
    <row r="15" spans="1:9" x14ac:dyDescent="0.25">
      <c r="A15" s="231" t="s">
        <v>247</v>
      </c>
      <c r="B15" s="290">
        <f>Produccio2_dades_OECC!F17/Produccio2_dades_OECC!F19</f>
        <v>0.78200964925446792</v>
      </c>
      <c r="C15" s="292" t="s">
        <v>253</v>
      </c>
      <c r="H15" s="233" t="s">
        <v>241</v>
      </c>
      <c r="I15" s="234">
        <f>Produccio2_dades_OECC!F7/Produccio2_dades_OECC!F12</f>
        <v>0.16647109080153805</v>
      </c>
    </row>
    <row r="16" spans="1:9" x14ac:dyDescent="0.25">
      <c r="A16" s="231" t="s">
        <v>248</v>
      </c>
      <c r="B16" s="291"/>
      <c r="C16" s="293"/>
      <c r="H16" s="233" t="s">
        <v>242</v>
      </c>
      <c r="I16" s="234">
        <f>Produccio2_dades_OECC!F8/Produccio2_dades_OECC!F12</f>
        <v>0.13085632686355714</v>
      </c>
    </row>
    <row r="17" spans="1:9" x14ac:dyDescent="0.25">
      <c r="A17" s="231" t="s">
        <v>249</v>
      </c>
      <c r="B17" s="225">
        <f>Produccio2_dades_OECC!F12/Produccio2_dades_OECC!F19</f>
        <v>0.24078027027823609</v>
      </c>
      <c r="C17" s="47" t="s">
        <v>254</v>
      </c>
      <c r="H17" s="233" t="s">
        <v>243</v>
      </c>
      <c r="I17" s="234">
        <f>Produccio2_dades_OECC!F9/Produccio2_dades_OECC!F12</f>
        <v>6.3182325205995843E-2</v>
      </c>
    </row>
    <row r="18" spans="1:9" x14ac:dyDescent="0.25">
      <c r="A18" s="231" t="s">
        <v>250</v>
      </c>
      <c r="B18" s="225">
        <f>Produccio2_dades_OECC!F6/Produccio2_dades_OECC!F19</f>
        <v>0.15397663695179739</v>
      </c>
      <c r="C18" s="229" t="s">
        <v>255</v>
      </c>
    </row>
    <row r="19" spans="1:9" x14ac:dyDescent="0.25">
      <c r="A19" s="231" t="s">
        <v>251</v>
      </c>
      <c r="B19" s="225">
        <f>(Produccio2_dades_OECC!F8+Produccio2_dades_OECC!F10+Produccio2_dades_OECC!F11)/Produccio2_dades_OECC!F19</f>
        <v>4.6720679089731577E-2</v>
      </c>
      <c r="C19" s="229" t="s">
        <v>256</v>
      </c>
      <c r="D19" t="s">
        <v>257</v>
      </c>
    </row>
    <row r="20" spans="1:9" x14ac:dyDescent="0.25">
      <c r="A20" s="232" t="s">
        <v>252</v>
      </c>
      <c r="B20" s="226">
        <f>Produccio2_dades_OECC!F7/Produccio2_dades_OECC!F19</f>
        <v>4.0082954236707116E-2</v>
      </c>
      <c r="C20" s="230" t="s">
        <v>234</v>
      </c>
    </row>
    <row r="21" spans="1:9" ht="21.75" thickBot="1" x14ac:dyDescent="0.4">
      <c r="A21" s="227" t="s">
        <v>219</v>
      </c>
    </row>
    <row r="22" spans="1:9" x14ac:dyDescent="0.25">
      <c r="A22" s="231" t="s">
        <v>259</v>
      </c>
      <c r="B22" t="s">
        <v>260</v>
      </c>
    </row>
  </sheetData>
  <mergeCells count="4">
    <mergeCell ref="B1:C1"/>
    <mergeCell ref="A2:A4"/>
    <mergeCell ref="B15:B16"/>
    <mergeCell ref="C15:C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BE7E3-3DBF-4367-B1CC-9FB2A9E08DDC}">
  <dimension ref="A1:T84"/>
  <sheetViews>
    <sheetView topLeftCell="A4" zoomScale="130" zoomScaleNormal="130" workbookViewId="0">
      <selection activeCell="A11" sqref="A11:F11"/>
    </sheetView>
  </sheetViews>
  <sheetFormatPr defaultRowHeight="15" x14ac:dyDescent="0.25"/>
  <cols>
    <col min="1" max="1" width="50.42578125" bestFit="1" customWidth="1"/>
    <col min="2" max="3" width="13" bestFit="1" customWidth="1"/>
    <col min="4" max="6" width="12.7109375" bestFit="1" customWidth="1"/>
    <col min="7" max="7" width="14.140625" customWidth="1"/>
  </cols>
  <sheetData>
    <row r="1" spans="1:20" ht="23.25" x14ac:dyDescent="0.35">
      <c r="A1" s="1" t="s">
        <v>0</v>
      </c>
    </row>
    <row r="2" spans="1:20" ht="14.25" customHeight="1" x14ac:dyDescent="0.35">
      <c r="A2" s="1"/>
    </row>
    <row r="3" spans="1:20" ht="18.75" x14ac:dyDescent="0.3">
      <c r="A3" s="3" t="s">
        <v>79</v>
      </c>
      <c r="F3" s="4"/>
    </row>
    <row r="4" spans="1:20" ht="19.5" thickBot="1" x14ac:dyDescent="0.35">
      <c r="A4" s="96" t="s">
        <v>78</v>
      </c>
      <c r="B4" s="95">
        <v>2021</v>
      </c>
      <c r="C4" s="95">
        <v>2022</v>
      </c>
      <c r="D4" s="95">
        <v>2023</v>
      </c>
      <c r="E4" s="95">
        <v>2024</v>
      </c>
      <c r="F4" s="95">
        <v>2025</v>
      </c>
      <c r="G4" s="46">
        <f>(F8-F9)/F9</f>
        <v>9.5600619694543552E-3</v>
      </c>
    </row>
    <row r="5" spans="1:20" x14ac:dyDescent="0.25">
      <c r="A5" s="7" t="s">
        <v>110</v>
      </c>
      <c r="B5" s="8">
        <f>B7+B10+B12</f>
        <v>101760409.88748008</v>
      </c>
      <c r="C5" s="8">
        <f>C7+C10+C12</f>
        <v>95718914.737820044</v>
      </c>
      <c r="D5" s="8">
        <f>D7+D10+D12</f>
        <v>101675142.75824569</v>
      </c>
      <c r="E5" s="8">
        <f>E7+E10+E12</f>
        <v>125797364.83136107</v>
      </c>
      <c r="F5" s="8">
        <f>F7+F10+F12</f>
        <v>125884653.95917702</v>
      </c>
    </row>
    <row r="6" spans="1:20" x14ac:dyDescent="0.25">
      <c r="A6" s="109" t="s">
        <v>109</v>
      </c>
      <c r="B6" s="110">
        <v>104699820.54748008</v>
      </c>
      <c r="C6" s="110">
        <v>98707618.567820042</v>
      </c>
      <c r="D6" s="110">
        <v>104296481.42101996</v>
      </c>
      <c r="E6" s="110">
        <v>128521168.72083998</v>
      </c>
      <c r="F6" s="110">
        <v>130292084.66118008</v>
      </c>
      <c r="G6" s="116">
        <f>F6-F5</f>
        <v>4407430.7020030618</v>
      </c>
    </row>
    <row r="7" spans="1:20" ht="15" customHeight="1" x14ac:dyDescent="0.25">
      <c r="A7" s="11" t="s">
        <v>99</v>
      </c>
      <c r="B7" s="12">
        <v>80482241.833000004</v>
      </c>
      <c r="C7" s="12">
        <v>69688542.513999999</v>
      </c>
      <c r="D7" s="12">
        <v>72521269.776225731</v>
      </c>
      <c r="E7" s="12">
        <v>92471407.142521083</v>
      </c>
      <c r="F7" s="12">
        <v>88945106.77087</v>
      </c>
      <c r="G7" s="297" t="s">
        <v>134</v>
      </c>
      <c r="H7" s="297"/>
      <c r="I7" s="297"/>
      <c r="J7" s="297"/>
      <c r="K7" s="297"/>
      <c r="L7" s="297"/>
      <c r="M7" s="297"/>
      <c r="N7" s="297"/>
      <c r="O7" s="297"/>
      <c r="P7" s="297"/>
      <c r="Q7" s="297"/>
      <c r="R7" s="297"/>
      <c r="S7" s="297"/>
      <c r="T7" s="297"/>
    </row>
    <row r="8" spans="1:20" x14ac:dyDescent="0.25">
      <c r="A8" s="111" t="s">
        <v>100</v>
      </c>
      <c r="B8" s="112">
        <v>80482241.833000004</v>
      </c>
      <c r="C8" s="112">
        <v>69688542.513999999</v>
      </c>
      <c r="D8" s="112">
        <v>72498380.518999994</v>
      </c>
      <c r="E8" s="112">
        <v>92412401.651999995</v>
      </c>
      <c r="F8" s="112">
        <v>88879808.936000004</v>
      </c>
      <c r="G8" s="297"/>
      <c r="H8" s="297"/>
      <c r="I8" s="297"/>
      <c r="J8" s="297"/>
      <c r="K8" s="297"/>
      <c r="L8" s="297"/>
      <c r="M8" s="297"/>
      <c r="N8" s="297"/>
      <c r="O8" s="297"/>
      <c r="P8" s="297"/>
      <c r="Q8" s="297"/>
      <c r="R8" s="297"/>
      <c r="S8" s="297"/>
      <c r="T8" s="297"/>
    </row>
    <row r="9" spans="1:20" s="130" customFormat="1" x14ac:dyDescent="0.25">
      <c r="A9" s="111"/>
      <c r="B9" s="148">
        <v>80308831.172692433</v>
      </c>
      <c r="C9" s="148">
        <v>69650493.737698123</v>
      </c>
      <c r="D9" s="148">
        <v>71919790.8639801</v>
      </c>
      <c r="E9" s="148">
        <v>92428101.892675862</v>
      </c>
      <c r="F9" s="148">
        <v>88038158.683310896</v>
      </c>
      <c r="G9" s="146"/>
      <c r="H9" s="146"/>
      <c r="I9" s="146"/>
      <c r="J9" s="146"/>
      <c r="K9" s="146"/>
      <c r="L9" s="146"/>
      <c r="M9" s="146"/>
      <c r="N9" s="146"/>
      <c r="O9" s="146"/>
      <c r="P9" s="146"/>
      <c r="Q9" s="146"/>
      <c r="R9" s="146"/>
      <c r="S9" s="146"/>
      <c r="T9" s="146"/>
    </row>
    <row r="10" spans="1:20" ht="15" customHeight="1" x14ac:dyDescent="0.25">
      <c r="A10" s="16" t="s">
        <v>101</v>
      </c>
      <c r="B10" s="17">
        <v>2811243.2039999999</v>
      </c>
      <c r="C10" s="12">
        <v>5956397.7960000001</v>
      </c>
      <c r="D10" s="12">
        <v>11177677.223999999</v>
      </c>
      <c r="E10" s="12">
        <v>15887823.672000002</v>
      </c>
      <c r="F10" s="18">
        <v>18787522.365486931</v>
      </c>
      <c r="G10" s="294" t="s">
        <v>92</v>
      </c>
      <c r="H10" s="294"/>
      <c r="I10" s="294"/>
      <c r="J10" s="294"/>
      <c r="K10" s="294"/>
      <c r="L10" s="294"/>
      <c r="M10" s="294"/>
      <c r="N10" s="294"/>
      <c r="O10" s="294"/>
      <c r="P10" s="294"/>
      <c r="Q10" s="294"/>
      <c r="R10" s="294"/>
      <c r="S10" s="294"/>
      <c r="T10" s="294"/>
    </row>
    <row r="11" spans="1:20" x14ac:dyDescent="0.25">
      <c r="A11" s="113" t="s">
        <v>102</v>
      </c>
      <c r="B11" s="112">
        <v>5750653.8639999982</v>
      </c>
      <c r="C11" s="112">
        <v>8945101.6260000002</v>
      </c>
      <c r="D11" s="112">
        <v>13821905.144000001</v>
      </c>
      <c r="E11" s="112">
        <v>18670633.052000005</v>
      </c>
      <c r="F11" s="112">
        <v>23243006.370999996</v>
      </c>
      <c r="G11" s="294"/>
      <c r="H11" s="294"/>
      <c r="I11" s="294"/>
      <c r="J11" s="294"/>
      <c r="K11" s="294"/>
      <c r="L11" s="294"/>
      <c r="M11" s="294"/>
      <c r="N11" s="294"/>
      <c r="O11" s="294"/>
      <c r="P11" s="294"/>
      <c r="Q11" s="294"/>
      <c r="R11" s="294"/>
      <c r="S11" s="294"/>
      <c r="T11" s="294"/>
    </row>
    <row r="12" spans="1:20" x14ac:dyDescent="0.25">
      <c r="A12" s="19" t="s">
        <v>103</v>
      </c>
      <c r="B12" s="20">
        <v>18466924.85048008</v>
      </c>
      <c r="C12" s="20">
        <v>20073974.427820042</v>
      </c>
      <c r="D12" s="20">
        <v>17976195.758019969</v>
      </c>
      <c r="E12" s="20">
        <v>17438134.016839977</v>
      </c>
      <c r="F12" s="20">
        <v>18152024.822820082</v>
      </c>
      <c r="G12" s="295" t="s">
        <v>93</v>
      </c>
      <c r="H12" s="295"/>
      <c r="I12" s="295"/>
      <c r="J12" s="295"/>
      <c r="K12" s="295"/>
      <c r="L12" s="295"/>
      <c r="M12" s="295"/>
      <c r="N12" s="295"/>
      <c r="O12" s="295"/>
      <c r="P12" s="295"/>
      <c r="Q12" s="295"/>
      <c r="R12" s="295"/>
      <c r="S12" s="295"/>
      <c r="T12" s="295"/>
    </row>
    <row r="13" spans="1:20" x14ac:dyDescent="0.25">
      <c r="A13" s="114" t="s">
        <v>104</v>
      </c>
      <c r="B13" s="115">
        <v>18466924.85048008</v>
      </c>
      <c r="C13" s="115">
        <v>20073974.427820042</v>
      </c>
      <c r="D13" s="115">
        <v>17976195.758019969</v>
      </c>
      <c r="E13" s="115">
        <v>17438134.016839977</v>
      </c>
      <c r="F13" s="115">
        <v>18169269.354180083</v>
      </c>
      <c r="G13" s="295"/>
      <c r="H13" s="295"/>
      <c r="I13" s="295"/>
      <c r="J13" s="295"/>
      <c r="K13" s="295"/>
      <c r="L13" s="295"/>
      <c r="M13" s="295"/>
      <c r="N13" s="295"/>
      <c r="O13" s="295"/>
      <c r="P13" s="295"/>
      <c r="Q13" s="295"/>
      <c r="R13" s="295"/>
      <c r="S13" s="295"/>
      <c r="T13" s="295"/>
    </row>
    <row r="14" spans="1:20" x14ac:dyDescent="0.25">
      <c r="A14" s="7" t="s">
        <v>112</v>
      </c>
      <c r="B14" s="8">
        <f>B16+B18</f>
        <v>10278712.255520226</v>
      </c>
      <c r="C14" s="8">
        <f>C16+C18</f>
        <v>9082966.0376798436</v>
      </c>
      <c r="D14" s="8">
        <f>D16+D18</f>
        <v>11932155.779980199</v>
      </c>
      <c r="E14" s="8">
        <f>E16+E18</f>
        <v>11054922.21916022</v>
      </c>
      <c r="F14" s="8">
        <f>F16+F18</f>
        <v>8764874.8826797903</v>
      </c>
      <c r="G14" s="296" t="s">
        <v>93</v>
      </c>
      <c r="H14" s="296"/>
      <c r="I14" s="296"/>
      <c r="J14" s="296"/>
      <c r="K14" s="296"/>
      <c r="L14" s="296"/>
      <c r="M14" s="296"/>
      <c r="N14" s="296"/>
      <c r="O14" s="296"/>
      <c r="P14" s="296"/>
      <c r="Q14" s="296"/>
      <c r="R14" s="296"/>
      <c r="S14" s="296"/>
      <c r="T14" s="296"/>
    </row>
    <row r="15" spans="1:20" x14ac:dyDescent="0.25">
      <c r="A15" s="109" t="s">
        <v>111</v>
      </c>
      <c r="B15" s="110">
        <v>10278712.255520225</v>
      </c>
      <c r="C15" s="110">
        <v>9082966.0376798417</v>
      </c>
      <c r="D15" s="110">
        <v>11932155.779980201</v>
      </c>
      <c r="E15" s="110">
        <v>11054922.219160222</v>
      </c>
      <c r="F15" s="110">
        <v>8747630.351319788</v>
      </c>
      <c r="G15" s="296"/>
      <c r="H15" s="296"/>
      <c r="I15" s="296"/>
      <c r="J15" s="296"/>
      <c r="K15" s="296"/>
      <c r="L15" s="296"/>
      <c r="M15" s="296"/>
      <c r="N15" s="296"/>
      <c r="O15" s="296"/>
      <c r="P15" s="296"/>
      <c r="Q15" s="296"/>
      <c r="R15" s="296"/>
      <c r="S15" s="296"/>
      <c r="T15" s="296"/>
    </row>
    <row r="16" spans="1:20" x14ac:dyDescent="0.25">
      <c r="A16" s="11" t="s">
        <v>105</v>
      </c>
      <c r="B16" s="17">
        <v>7065753.5060002115</v>
      </c>
      <c r="C16" s="17">
        <v>5590405.5654998338</v>
      </c>
      <c r="D16" s="17">
        <v>8687485.3380002063</v>
      </c>
      <c r="E16" s="17">
        <v>7804796.6360002253</v>
      </c>
      <c r="F16" s="17">
        <v>5361235.5054997718</v>
      </c>
    </row>
    <row r="17" spans="1:20" x14ac:dyDescent="0.25">
      <c r="A17" s="111" t="s">
        <v>106</v>
      </c>
      <c r="B17" s="112">
        <v>7065753.5060002115</v>
      </c>
      <c r="C17" s="112">
        <v>5590405.5654998338</v>
      </c>
      <c r="D17" s="112">
        <v>8687485.3380002063</v>
      </c>
      <c r="E17" s="112">
        <v>7804796.6360002253</v>
      </c>
      <c r="F17" s="112">
        <v>5361235.5054997718</v>
      </c>
    </row>
    <row r="18" spans="1:20" x14ac:dyDescent="0.25">
      <c r="A18" s="25" t="s">
        <v>107</v>
      </c>
      <c r="B18" s="26">
        <v>3212958.749520015</v>
      </c>
      <c r="C18" s="26">
        <v>3492560.4721800089</v>
      </c>
      <c r="D18" s="26">
        <v>3244670.4419799931</v>
      </c>
      <c r="E18" s="26">
        <v>3250125.5831599943</v>
      </c>
      <c r="F18" s="26">
        <v>3403639.3771800175</v>
      </c>
      <c r="G18" s="295" t="s">
        <v>93</v>
      </c>
      <c r="H18" s="295"/>
      <c r="I18" s="295"/>
      <c r="J18" s="295"/>
      <c r="K18" s="295"/>
      <c r="L18" s="295"/>
      <c r="M18" s="295"/>
      <c r="N18" s="295"/>
      <c r="O18" s="295"/>
      <c r="P18" s="295"/>
      <c r="Q18" s="295"/>
      <c r="R18" s="295"/>
      <c r="S18" s="295"/>
      <c r="T18" s="295"/>
    </row>
    <row r="19" spans="1:20" x14ac:dyDescent="0.25">
      <c r="A19" s="117" t="s">
        <v>108</v>
      </c>
      <c r="B19" s="118">
        <v>3212958.749520014</v>
      </c>
      <c r="C19" s="118">
        <v>3492560.4721800075</v>
      </c>
      <c r="D19" s="118">
        <v>3244670.441979995</v>
      </c>
      <c r="E19" s="118">
        <v>3250125.5831599957</v>
      </c>
      <c r="F19" s="118">
        <v>3386394.8458200162</v>
      </c>
      <c r="G19" s="295"/>
      <c r="H19" s="295"/>
      <c r="I19" s="295"/>
      <c r="J19" s="295"/>
      <c r="K19" s="295"/>
      <c r="L19" s="295"/>
      <c r="M19" s="295"/>
      <c r="N19" s="295"/>
      <c r="O19" s="295"/>
      <c r="P19" s="295"/>
      <c r="Q19" s="295"/>
      <c r="R19" s="295"/>
      <c r="S19" s="295"/>
      <c r="T19" s="295"/>
    </row>
    <row r="20" spans="1:20" x14ac:dyDescent="0.25">
      <c r="A20" s="29" t="s">
        <v>15</v>
      </c>
      <c r="B20" s="30">
        <f>B5+B14</f>
        <v>112039122.1430003</v>
      </c>
      <c r="C20" s="30">
        <f>C5+C14</f>
        <v>104801880.77549988</v>
      </c>
      <c r="D20" s="30">
        <f>D5+D14</f>
        <v>113607298.53822589</v>
      </c>
      <c r="E20" s="30">
        <f>E5+E14</f>
        <v>136852287.05052128</v>
      </c>
      <c r="F20" s="30">
        <f>F5+F14</f>
        <v>134649528.84185681</v>
      </c>
      <c r="I20" s="121"/>
    </row>
    <row r="21" spans="1:20" x14ac:dyDescent="0.25">
      <c r="A21" s="119" t="s">
        <v>94</v>
      </c>
      <c r="B21" s="120">
        <v>114978532.8030003</v>
      </c>
      <c r="C21" s="120">
        <v>107790584.60549988</v>
      </c>
      <c r="D21" s="120">
        <v>116228637.20100015</v>
      </c>
      <c r="E21" s="120">
        <v>139576090.94000021</v>
      </c>
      <c r="F21" s="120">
        <v>139039715.01249987</v>
      </c>
      <c r="G21" s="116">
        <f>F21-F20</f>
        <v>4390186.1706430614</v>
      </c>
    </row>
    <row r="22" spans="1:20" x14ac:dyDescent="0.25">
      <c r="A22" s="33" t="s">
        <v>16</v>
      </c>
      <c r="B22" s="34">
        <f>B20-B25</f>
        <v>6377878.1430003047</v>
      </c>
      <c r="C22" s="34">
        <f>C20-C25</f>
        <v>6588794.7754998803</v>
      </c>
      <c r="D22" s="34">
        <f>D20-D25</f>
        <v>8439052.0382258892</v>
      </c>
      <c r="E22" s="34">
        <f>E20-E25</f>
        <v>11353191.81052129</v>
      </c>
      <c r="F22" s="34">
        <f>F20-F25</f>
        <v>10192878.841856807</v>
      </c>
    </row>
    <row r="23" spans="1:20" x14ac:dyDescent="0.25">
      <c r="A23" s="33" t="s">
        <v>19</v>
      </c>
      <c r="B23" s="34">
        <f>B22-B24</f>
        <v>5894956.9390003048</v>
      </c>
      <c r="C23" s="34">
        <f>C22-C24</f>
        <v>5807509.9794998802</v>
      </c>
      <c r="D23" s="34">
        <f>D22-D24</f>
        <v>5691110.3142258897</v>
      </c>
      <c r="E23" s="34">
        <f>E22-E24</f>
        <v>6188063.3785212878</v>
      </c>
      <c r="F23" s="34">
        <f>F22-F24</f>
        <v>6088316.4763698764</v>
      </c>
    </row>
    <row r="24" spans="1:20" x14ac:dyDescent="0.25">
      <c r="A24" s="123" t="s">
        <v>20</v>
      </c>
      <c r="B24" s="37">
        <v>482921.20399999991</v>
      </c>
      <c r="C24" s="37">
        <v>781284.79600000009</v>
      </c>
      <c r="D24" s="37">
        <v>2747941.7239999995</v>
      </c>
      <c r="E24" s="37">
        <v>5165128.4320000019</v>
      </c>
      <c r="F24" s="37">
        <v>4104562.3654869311</v>
      </c>
    </row>
    <row r="25" spans="1:20" x14ac:dyDescent="0.25">
      <c r="A25" s="33" t="s">
        <v>22</v>
      </c>
      <c r="B25" s="30">
        <f>B27+B33+B36+B39</f>
        <v>105661244</v>
      </c>
      <c r="C25" s="30">
        <f t="shared" ref="C25:E25" si="0">C27+C33+C36+C39</f>
        <v>98213086</v>
      </c>
      <c r="D25" s="30">
        <f t="shared" si="0"/>
        <v>105168246.5</v>
      </c>
      <c r="E25" s="30">
        <f t="shared" si="0"/>
        <v>125499095.23999999</v>
      </c>
      <c r="F25" s="30">
        <f>F27+F33+F36+F39</f>
        <v>124456650</v>
      </c>
    </row>
    <row r="26" spans="1:20" x14ac:dyDescent="0.25">
      <c r="A26" s="122" t="s">
        <v>95</v>
      </c>
      <c r="B26" s="120">
        <v>106804035.22289602</v>
      </c>
      <c r="C26" s="120">
        <v>97650382.362779319</v>
      </c>
      <c r="D26" s="120">
        <v>103586816.98819858</v>
      </c>
      <c r="E26" s="120">
        <v>125017711.77464005</v>
      </c>
      <c r="F26" s="120">
        <v>122256203.53764896</v>
      </c>
      <c r="G26" s="116">
        <f>F25-F26</f>
        <v>2200446.4623510391</v>
      </c>
    </row>
    <row r="27" spans="1:20" s="126" customFormat="1" x14ac:dyDescent="0.25">
      <c r="A27" s="136" t="s">
        <v>113</v>
      </c>
      <c r="B27" s="137">
        <v>79443552</v>
      </c>
      <c r="C27" s="137">
        <v>68742663</v>
      </c>
      <c r="D27" s="137">
        <v>71531761</v>
      </c>
      <c r="E27" s="137">
        <v>91230630</v>
      </c>
      <c r="F27" s="137">
        <v>87760300</v>
      </c>
      <c r="G27" s="294" t="s">
        <v>115</v>
      </c>
      <c r="H27" s="294"/>
      <c r="I27" s="294"/>
      <c r="J27" s="294"/>
      <c r="K27" s="294"/>
      <c r="L27" s="294"/>
      <c r="M27" s="294"/>
      <c r="N27" s="294"/>
      <c r="O27" s="294"/>
      <c r="P27" s="294"/>
      <c r="Q27" s="294"/>
      <c r="R27" s="294"/>
      <c r="S27" s="294"/>
      <c r="T27" s="294"/>
    </row>
    <row r="28" spans="1:20" s="126" customFormat="1" x14ac:dyDescent="0.25">
      <c r="A28" s="111" t="s">
        <v>114</v>
      </c>
      <c r="B28" s="112">
        <v>79443551.829000071</v>
      </c>
      <c r="C28" s="112">
        <v>68742663.104000002</v>
      </c>
      <c r="D28" s="112">
        <v>71509666.165000051</v>
      </c>
      <c r="E28" s="112">
        <v>91173672.284000129</v>
      </c>
      <c r="F28" s="112">
        <v>87697267.877999887</v>
      </c>
      <c r="G28" s="294"/>
      <c r="H28" s="294"/>
      <c r="I28" s="294"/>
      <c r="J28" s="294"/>
      <c r="K28" s="294"/>
      <c r="L28" s="294"/>
      <c r="M28" s="294"/>
      <c r="N28" s="294"/>
      <c r="O28" s="294"/>
      <c r="P28" s="294"/>
      <c r="Q28" s="294"/>
      <c r="R28" s="294"/>
      <c r="S28" s="294"/>
      <c r="T28" s="294"/>
    </row>
    <row r="29" spans="1:20" s="126" customFormat="1" x14ac:dyDescent="0.25">
      <c r="A29" s="127" t="s">
        <v>116</v>
      </c>
      <c r="B29" s="128">
        <v>80257421</v>
      </c>
      <c r="C29" s="128">
        <v>69565387</v>
      </c>
      <c r="D29" s="128">
        <v>71850869</v>
      </c>
      <c r="E29" s="128">
        <v>92268235</v>
      </c>
      <c r="F29" s="128">
        <v>87945833</v>
      </c>
    </row>
    <row r="30" spans="1:20" s="126" customFormat="1" x14ac:dyDescent="0.25">
      <c r="A30" s="131" t="s">
        <v>119</v>
      </c>
      <c r="B30" s="133">
        <v>1105991</v>
      </c>
      <c r="C30" s="133">
        <v>1397393</v>
      </c>
      <c r="D30" s="133">
        <v>2848596.98</v>
      </c>
      <c r="E30" s="133">
        <v>3162259</v>
      </c>
      <c r="F30" s="133">
        <v>3988900</v>
      </c>
    </row>
    <row r="31" spans="1:20" s="126" customFormat="1" x14ac:dyDescent="0.25">
      <c r="A31" s="131" t="s">
        <v>118</v>
      </c>
      <c r="B31" s="133">
        <f>1222331</f>
        <v>1222331</v>
      </c>
      <c r="C31" s="133">
        <f>3777720</f>
        <v>3777720</v>
      </c>
      <c r="D31" s="133">
        <f>5581138.52</f>
        <v>5581138.5199999996</v>
      </c>
      <c r="E31" s="133">
        <f>7560436.24</f>
        <v>7560436.2400000002</v>
      </c>
      <c r="F31" s="133">
        <f>10694060</f>
        <v>10694060</v>
      </c>
    </row>
    <row r="32" spans="1:20" s="126" customFormat="1" x14ac:dyDescent="0.25">
      <c r="A32" s="124" t="s">
        <v>117</v>
      </c>
      <c r="B32" s="135">
        <v>2365952.3938959492</v>
      </c>
      <c r="C32" s="135">
        <v>3212746.2587793251</v>
      </c>
      <c r="D32" s="135">
        <v>4023293.8431985285</v>
      </c>
      <c r="E32" s="135">
        <v>7135740.4906399185</v>
      </c>
      <c r="F32" s="135">
        <v>8556825.6596490759</v>
      </c>
    </row>
    <row r="33" spans="1:20" s="126" customFormat="1" x14ac:dyDescent="0.25">
      <c r="A33" s="138" t="s">
        <v>120</v>
      </c>
      <c r="B33" s="139">
        <f>B30+B31</f>
        <v>2328322</v>
      </c>
      <c r="C33" s="139">
        <f t="shared" ref="C33:E33" si="1">C30+C31</f>
        <v>5175113</v>
      </c>
      <c r="D33" s="139">
        <f t="shared" si="1"/>
        <v>8429735.5</v>
      </c>
      <c r="E33" s="139">
        <f t="shared" si="1"/>
        <v>10722695.24</v>
      </c>
      <c r="F33" s="139">
        <f>F30+F31</f>
        <v>14682960</v>
      </c>
    </row>
    <row r="34" spans="1:20" s="126" customFormat="1" x14ac:dyDescent="0.25">
      <c r="A34" s="124" t="s">
        <v>121</v>
      </c>
      <c r="B34" s="125">
        <f>B30+B32</f>
        <v>3471943.3938959492</v>
      </c>
      <c r="C34" s="125">
        <f t="shared" ref="C34:F34" si="2">C30+C32</f>
        <v>4610139.2587793246</v>
      </c>
      <c r="D34" s="125">
        <f t="shared" si="2"/>
        <v>6871890.823198529</v>
      </c>
      <c r="E34" s="125">
        <f t="shared" si="2"/>
        <v>10297999.490639918</v>
      </c>
      <c r="F34" s="125">
        <f t="shared" si="2"/>
        <v>12545725.659649076</v>
      </c>
    </row>
    <row r="35" spans="1:20" s="126" customFormat="1" x14ac:dyDescent="0.25">
      <c r="A35" s="134" t="s">
        <v>122</v>
      </c>
      <c r="B35" s="129">
        <v>1514491.3670000001</v>
      </c>
      <c r="C35" s="129">
        <v>5152452</v>
      </c>
      <c r="D35" s="129">
        <v>9351350.5199999996</v>
      </c>
      <c r="E35" s="129">
        <v>12009972.24</v>
      </c>
      <c r="F35" s="129">
        <v>16000902.390999999</v>
      </c>
    </row>
    <row r="36" spans="1:20" x14ac:dyDescent="0.25">
      <c r="A36" s="138" t="s">
        <v>126</v>
      </c>
      <c r="B36" s="139">
        <v>16896690</v>
      </c>
      <c r="C36" s="139">
        <v>18764510</v>
      </c>
      <c r="D36" s="139">
        <v>16607310</v>
      </c>
      <c r="E36" s="139">
        <v>15821700</v>
      </c>
      <c r="F36" s="139">
        <v>16707770</v>
      </c>
      <c r="G36" s="295" t="s">
        <v>127</v>
      </c>
      <c r="H36" s="295"/>
      <c r="I36" s="295"/>
      <c r="J36" s="295"/>
      <c r="K36" s="295"/>
      <c r="L36" s="295"/>
      <c r="M36" s="295"/>
      <c r="N36" s="295"/>
      <c r="O36" s="295"/>
      <c r="P36" s="295"/>
      <c r="Q36" s="295"/>
      <c r="R36" s="295"/>
      <c r="S36" s="295"/>
      <c r="T36" s="295"/>
    </row>
    <row r="37" spans="1:20" x14ac:dyDescent="0.25">
      <c r="A37" s="124" t="s">
        <v>123</v>
      </c>
      <c r="B37" s="125">
        <v>16895860</v>
      </c>
      <c r="C37" s="125">
        <v>18764990</v>
      </c>
      <c r="D37" s="125">
        <v>16607620</v>
      </c>
      <c r="E37" s="125">
        <v>15821960</v>
      </c>
      <c r="F37" s="125">
        <v>16707420</v>
      </c>
      <c r="G37" s="295"/>
      <c r="H37" s="295"/>
      <c r="I37" s="295"/>
      <c r="J37" s="295"/>
      <c r="K37" s="295"/>
      <c r="L37" s="295"/>
      <c r="M37" s="295"/>
      <c r="N37" s="295"/>
      <c r="O37" s="295"/>
      <c r="P37" s="295"/>
      <c r="Q37" s="295"/>
      <c r="R37" s="295"/>
      <c r="S37" s="295"/>
      <c r="T37" s="295"/>
    </row>
    <row r="38" spans="1:20" s="130" customFormat="1" x14ac:dyDescent="0.25">
      <c r="A38" s="140" t="s">
        <v>129</v>
      </c>
      <c r="B38" s="143">
        <v>16889010</v>
      </c>
      <c r="C38" s="132">
        <v>18760470</v>
      </c>
      <c r="D38" s="132">
        <v>16607910</v>
      </c>
      <c r="E38" s="132">
        <v>15809170</v>
      </c>
      <c r="F38" s="132">
        <v>16711330</v>
      </c>
      <c r="G38" s="142" t="s">
        <v>130</v>
      </c>
      <c r="H38" s="141"/>
      <c r="I38" s="141"/>
      <c r="J38" s="141"/>
      <c r="K38" s="141"/>
      <c r="L38" s="141"/>
      <c r="M38" s="141"/>
      <c r="N38" s="141"/>
      <c r="O38" s="141"/>
      <c r="P38" s="141"/>
      <c r="Q38" s="141"/>
      <c r="R38" s="141"/>
      <c r="S38" s="141"/>
      <c r="T38" s="141"/>
    </row>
    <row r="39" spans="1:20" x14ac:dyDescent="0.25">
      <c r="A39" s="138" t="s">
        <v>124</v>
      </c>
      <c r="B39" s="139">
        <v>6992680</v>
      </c>
      <c r="C39" s="139">
        <v>5530800</v>
      </c>
      <c r="D39" s="139">
        <v>8599440</v>
      </c>
      <c r="E39" s="139">
        <v>7724070</v>
      </c>
      <c r="F39" s="139">
        <v>5305620</v>
      </c>
      <c r="G39" s="296" t="s">
        <v>128</v>
      </c>
      <c r="H39" s="296"/>
      <c r="I39" s="296"/>
      <c r="J39" s="296"/>
      <c r="K39" s="296"/>
      <c r="L39" s="296"/>
      <c r="M39" s="296"/>
      <c r="N39" s="296"/>
      <c r="O39" s="296"/>
      <c r="P39" s="296"/>
      <c r="Q39" s="296"/>
      <c r="R39" s="296"/>
      <c r="S39" s="296"/>
      <c r="T39" s="296"/>
    </row>
    <row r="40" spans="1:20" x14ac:dyDescent="0.25">
      <c r="A40" s="124" t="s">
        <v>125</v>
      </c>
      <c r="B40" s="125">
        <v>6992680</v>
      </c>
      <c r="C40" s="125">
        <v>5532590</v>
      </c>
      <c r="D40" s="125">
        <v>8597640</v>
      </c>
      <c r="E40" s="125">
        <v>7724080</v>
      </c>
      <c r="F40" s="125">
        <v>5305790</v>
      </c>
      <c r="G40" s="296"/>
      <c r="H40" s="296"/>
      <c r="I40" s="296"/>
      <c r="J40" s="296"/>
      <c r="K40" s="296"/>
      <c r="L40" s="296"/>
      <c r="M40" s="296"/>
      <c r="N40" s="296"/>
      <c r="O40" s="296"/>
      <c r="P40" s="296"/>
      <c r="Q40" s="296"/>
      <c r="R40" s="296"/>
      <c r="S40" s="296"/>
      <c r="T40" s="296"/>
    </row>
    <row r="41" spans="1:20" x14ac:dyDescent="0.25">
      <c r="A41" s="7" t="s">
        <v>23</v>
      </c>
      <c r="B41" s="8">
        <v>426887150</v>
      </c>
      <c r="C41" s="8">
        <v>461422530</v>
      </c>
      <c r="D41" s="8">
        <v>445409760</v>
      </c>
      <c r="E41" s="8">
        <v>434152940</v>
      </c>
      <c r="F41" s="8">
        <v>450527770</v>
      </c>
    </row>
    <row r="42" spans="1:20" x14ac:dyDescent="0.25">
      <c r="A42" s="29" t="s">
        <v>25</v>
      </c>
      <c r="B42" s="8">
        <v>-20700</v>
      </c>
      <c r="C42" s="8">
        <v>-30880</v>
      </c>
      <c r="D42" s="8">
        <v>-29660</v>
      </c>
      <c r="E42" s="8">
        <v>-27370</v>
      </c>
      <c r="F42" s="8">
        <v>-109930</v>
      </c>
    </row>
    <row r="43" spans="1:20" x14ac:dyDescent="0.25">
      <c r="A43" s="42" t="s">
        <v>131</v>
      </c>
      <c r="B43" s="43">
        <f>B25+B41+B42</f>
        <v>532527694</v>
      </c>
      <c r="C43" s="43">
        <f t="shared" ref="C43:E43" si="3">C25+C41+C42</f>
        <v>559604736</v>
      </c>
      <c r="D43" s="43">
        <f t="shared" si="3"/>
        <v>550548346.5</v>
      </c>
      <c r="E43" s="43">
        <f t="shared" si="3"/>
        <v>559624665.24000001</v>
      </c>
      <c r="F43" s="43">
        <f>F25+F41+F42</f>
        <v>574874490</v>
      </c>
      <c r="G43" s="116">
        <f>F43-F44</f>
        <v>2200446.4623510838</v>
      </c>
    </row>
    <row r="44" spans="1:20" x14ac:dyDescent="0.25">
      <c r="A44" s="144" t="s">
        <v>132</v>
      </c>
      <c r="B44" s="145">
        <v>533711885.22289604</v>
      </c>
      <c r="C44" s="145">
        <v>559103792.36277938</v>
      </c>
      <c r="D44" s="145">
        <v>549026236.98819852</v>
      </c>
      <c r="E44" s="145">
        <v>559198021.77464008</v>
      </c>
      <c r="F44" s="145">
        <v>572674043.53764892</v>
      </c>
    </row>
    <row r="45" spans="1:20" x14ac:dyDescent="0.25">
      <c r="A45" s="144" t="s">
        <v>133</v>
      </c>
      <c r="B45" s="145">
        <v>541844982.80300033</v>
      </c>
      <c r="C45" s="145">
        <v>569182234.60549986</v>
      </c>
      <c r="D45" s="145">
        <v>561608737.20100021</v>
      </c>
      <c r="E45" s="145">
        <v>573701660.94000018</v>
      </c>
      <c r="F45" s="145">
        <v>589457555.01249981</v>
      </c>
      <c r="G45" s="116">
        <f>F43-F45</f>
        <v>-14583065.012499809</v>
      </c>
    </row>
    <row r="46" spans="1:20" x14ac:dyDescent="0.25">
      <c r="A46" s="48" t="s">
        <v>30</v>
      </c>
      <c r="B46" s="49">
        <f>B24/B20</f>
        <v>4.3102908587915123E-3</v>
      </c>
      <c r="C46" s="49">
        <f>C24/C20</f>
        <v>7.4548738077861425E-3</v>
      </c>
      <c r="D46" s="49">
        <f>D24/D20</f>
        <v>2.4188073824107249E-2</v>
      </c>
      <c r="E46" s="49">
        <f>E24/E20</f>
        <v>3.7742361076459098E-2</v>
      </c>
      <c r="F46" s="49">
        <f>F24/F20</f>
        <v>3.0483302843990326E-2</v>
      </c>
    </row>
    <row r="47" spans="1:20" x14ac:dyDescent="0.25">
      <c r="A47" s="48" t="s">
        <v>31</v>
      </c>
      <c r="B47" s="49">
        <f>B24/B10</f>
        <v>0.17178207965531819</v>
      </c>
      <c r="C47" s="49">
        <f>C24/C10</f>
        <v>0.13116733011429649</v>
      </c>
      <c r="D47" s="49">
        <f>D24/D10</f>
        <v>0.24584192841959984</v>
      </c>
      <c r="E47" s="49">
        <f>E24/E10</f>
        <v>0.32509980842138853</v>
      </c>
      <c r="F47" s="49">
        <f>F24/F10</f>
        <v>0.21847278665265077</v>
      </c>
    </row>
    <row r="48" spans="1:20" x14ac:dyDescent="0.25">
      <c r="A48" s="48"/>
      <c r="B48" s="49"/>
      <c r="C48" s="49"/>
      <c r="D48" s="49"/>
      <c r="E48" s="49"/>
      <c r="F48" s="49"/>
    </row>
    <row r="49" spans="1:6" x14ac:dyDescent="0.25">
      <c r="A49" s="7" t="s">
        <v>32</v>
      </c>
      <c r="B49" s="8">
        <f>B43-(B53+B82+B24)</f>
        <v>65931425.493388414</v>
      </c>
      <c r="C49" s="8">
        <f>C43-(C53+C82+C24)</f>
        <v>26319726.070052385</v>
      </c>
      <c r="D49" s="8">
        <f>D43-(D53+D82+D24)</f>
        <v>50151973.276000023</v>
      </c>
      <c r="E49" s="8">
        <f>E43-(E53+E82+E24)</f>
        <v>37070372.778000057</v>
      </c>
      <c r="F49" s="8">
        <f>F43-(F53+F82+F24)</f>
        <v>29451581.634513021</v>
      </c>
    </row>
    <row r="50" spans="1:6" x14ac:dyDescent="0.25">
      <c r="A50" s="54" t="s">
        <v>33</v>
      </c>
      <c r="B50" s="55">
        <f>B49/B43</f>
        <v>0.12380844458652401</v>
      </c>
      <c r="C50" s="55">
        <f>C49/C43</f>
        <v>4.703270786838442E-2</v>
      </c>
      <c r="D50" s="55">
        <f>D49/D43</f>
        <v>9.1094585234577613E-2</v>
      </c>
      <c r="E50" s="55">
        <f>E49/E43</f>
        <v>6.6241491986601592E-2</v>
      </c>
      <c r="F50" s="55">
        <f>F49/F43</f>
        <v>5.1231324657514406E-2</v>
      </c>
    </row>
    <row r="51" spans="1:6" x14ac:dyDescent="0.25">
      <c r="A51" s="57" t="s">
        <v>35</v>
      </c>
      <c r="B51" s="58">
        <v>6.5199999999999994E-2</v>
      </c>
      <c r="C51" s="58">
        <v>6.5199999999999994E-2</v>
      </c>
      <c r="D51" s="58">
        <v>6.5199999999999994E-2</v>
      </c>
      <c r="E51" s="58">
        <v>6.5199999999999994E-2</v>
      </c>
      <c r="F51" s="58">
        <v>6.5199999999999994E-2</v>
      </c>
    </row>
    <row r="53" spans="1:6" x14ac:dyDescent="0.25">
      <c r="A53" s="61" t="s">
        <v>38</v>
      </c>
      <c r="B53" s="147">
        <f>B54+B68+B75</f>
        <v>462247497.66564417</v>
      </c>
      <c r="C53" s="147">
        <f>C54+C68+C75</f>
        <v>528087247.15835255</v>
      </c>
      <c r="D53" s="100">
        <f>D54+D68+D75</f>
        <v>496072090.5</v>
      </c>
      <c r="E53" s="100">
        <f>E54+E68+E75</f>
        <v>515197581.02999997</v>
      </c>
      <c r="F53" s="100">
        <f>F54+F68+F75</f>
        <v>531857193</v>
      </c>
    </row>
    <row r="54" spans="1:6" x14ac:dyDescent="0.25">
      <c r="A54" s="64" t="s">
        <v>39</v>
      </c>
      <c r="B54" s="65">
        <f>SUM(B55:B67)</f>
        <v>12121200.839787882</v>
      </c>
      <c r="C54" s="65">
        <f>SUM(C55:C67)</f>
        <v>13847671.682513125</v>
      </c>
      <c r="D54" s="66">
        <f>SUM(D55:D67)</f>
        <v>12453848</v>
      </c>
      <c r="E54" s="66">
        <f>SUM(E55:E67)</f>
        <v>13740940</v>
      </c>
      <c r="F54" s="66">
        <f>SUM(F55:F67)</f>
        <v>14302119</v>
      </c>
    </row>
    <row r="55" spans="1:6" x14ac:dyDescent="0.25">
      <c r="A55" s="69" t="s">
        <v>40</v>
      </c>
      <c r="B55" s="70">
        <v>8543.514419719264</v>
      </c>
      <c r="C55" s="70">
        <v>9760.401156851005</v>
      </c>
      <c r="D55" s="71">
        <v>8580</v>
      </c>
      <c r="E55" s="71">
        <v>8731</v>
      </c>
      <c r="F55" s="71">
        <v>11278</v>
      </c>
    </row>
    <row r="56" spans="1:6" x14ac:dyDescent="0.25">
      <c r="A56" s="69" t="s">
        <v>41</v>
      </c>
      <c r="B56" s="70" t="s">
        <v>17</v>
      </c>
      <c r="C56" s="70" t="s">
        <v>17</v>
      </c>
      <c r="D56" s="74" t="s">
        <v>17</v>
      </c>
      <c r="E56" s="71" t="s">
        <v>17</v>
      </c>
      <c r="F56" s="71" t="s">
        <v>17</v>
      </c>
    </row>
    <row r="57" spans="1:6" x14ac:dyDescent="0.25">
      <c r="A57" s="69" t="s">
        <v>42</v>
      </c>
      <c r="B57" s="70" t="s">
        <v>17</v>
      </c>
      <c r="C57" s="70" t="s">
        <v>17</v>
      </c>
      <c r="D57" s="71" t="s">
        <v>17</v>
      </c>
      <c r="E57" s="71" t="s">
        <v>17</v>
      </c>
      <c r="F57" s="71" t="s">
        <v>17</v>
      </c>
    </row>
    <row r="58" spans="1:6" x14ac:dyDescent="0.25">
      <c r="A58" s="69" t="s">
        <v>43</v>
      </c>
      <c r="B58" s="70">
        <v>584004.63558085822</v>
      </c>
      <c r="C58" s="70">
        <v>667186.73846600263</v>
      </c>
      <c r="D58" s="71">
        <v>618754</v>
      </c>
      <c r="E58" s="71">
        <v>651552</v>
      </c>
      <c r="F58" s="71">
        <v>679841</v>
      </c>
    </row>
    <row r="59" spans="1:6" x14ac:dyDescent="0.25">
      <c r="A59" s="69" t="s">
        <v>44</v>
      </c>
      <c r="B59" s="70">
        <v>18768.017527168191</v>
      </c>
      <c r="C59" s="70">
        <v>21441.220905669365</v>
      </c>
      <c r="D59" s="71">
        <v>18149</v>
      </c>
      <c r="E59" s="71">
        <v>19288</v>
      </c>
      <c r="F59" s="71">
        <v>25413</v>
      </c>
    </row>
    <row r="60" spans="1:6" x14ac:dyDescent="0.25">
      <c r="A60" s="69" t="s">
        <v>45</v>
      </c>
      <c r="B60" s="70">
        <v>1487882.6986539494</v>
      </c>
      <c r="C60" s="70">
        <v>1699807.7488675674</v>
      </c>
      <c r="D60" s="71">
        <v>1601839</v>
      </c>
      <c r="E60" s="71">
        <v>1655290</v>
      </c>
      <c r="F60" s="71">
        <v>1709625</v>
      </c>
    </row>
    <row r="61" spans="1:6" x14ac:dyDescent="0.25">
      <c r="A61" s="69" t="s">
        <v>46</v>
      </c>
      <c r="B61" s="70" t="s">
        <v>17</v>
      </c>
      <c r="C61" s="70" t="s">
        <v>17</v>
      </c>
      <c r="D61" s="71" t="s">
        <v>17</v>
      </c>
      <c r="E61" s="71" t="s">
        <v>17</v>
      </c>
      <c r="F61" s="71" t="s">
        <v>17</v>
      </c>
    </row>
    <row r="62" spans="1:6" x14ac:dyDescent="0.25">
      <c r="A62" s="69" t="s">
        <v>47</v>
      </c>
      <c r="B62" s="70">
        <v>2290066.1080100513</v>
      </c>
      <c r="C62" s="70">
        <v>2616249.3315743776</v>
      </c>
      <c r="D62" s="71">
        <v>2687074</v>
      </c>
      <c r="E62" s="71">
        <v>2531044</v>
      </c>
      <c r="F62" s="71">
        <v>2410986</v>
      </c>
    </row>
    <row r="63" spans="1:6" x14ac:dyDescent="0.25">
      <c r="A63" s="69" t="s">
        <v>48</v>
      </c>
      <c r="B63" s="70">
        <v>317318.69464605086</v>
      </c>
      <c r="C63" s="70">
        <v>362515.65832969436</v>
      </c>
      <c r="D63" s="71">
        <v>293100</v>
      </c>
      <c r="E63" s="71">
        <v>352960</v>
      </c>
      <c r="F63" s="71">
        <v>416695</v>
      </c>
    </row>
    <row r="64" spans="1:6" x14ac:dyDescent="0.25">
      <c r="A64" s="69" t="s">
        <v>49</v>
      </c>
      <c r="B64" s="70">
        <v>354796.22910748562</v>
      </c>
      <c r="C64" s="70">
        <v>405331.26707602234</v>
      </c>
      <c r="D64" s="71">
        <v>376801</v>
      </c>
      <c r="E64" s="71">
        <v>398326</v>
      </c>
      <c r="F64" s="71">
        <v>409487</v>
      </c>
    </row>
    <row r="65" spans="1:6" x14ac:dyDescent="0.25">
      <c r="A65" s="69" t="s">
        <v>50</v>
      </c>
      <c r="B65" s="70">
        <v>65044.24906017357</v>
      </c>
      <c r="C65" s="70">
        <v>74308.760140687416</v>
      </c>
      <c r="D65" s="71">
        <v>69661</v>
      </c>
      <c r="E65" s="71">
        <v>70595</v>
      </c>
      <c r="F65" s="71">
        <v>76954</v>
      </c>
    </row>
    <row r="66" spans="1:6" x14ac:dyDescent="0.25">
      <c r="A66" s="69" t="s">
        <v>51</v>
      </c>
      <c r="B66" s="70">
        <v>5357584.3373264233</v>
      </c>
      <c r="C66" s="70">
        <v>6120686.3820902808</v>
      </c>
      <c r="D66" s="71">
        <v>5022902</v>
      </c>
      <c r="E66" s="71">
        <v>6196638</v>
      </c>
      <c r="F66" s="71">
        <v>6710906</v>
      </c>
    </row>
    <row r="67" spans="1:6" x14ac:dyDescent="0.25">
      <c r="A67" s="69" t="s">
        <v>52</v>
      </c>
      <c r="B67" s="70">
        <v>1637192.3554560021</v>
      </c>
      <c r="C67" s="70">
        <v>1870384.1739059729</v>
      </c>
      <c r="D67" s="71">
        <v>1756988</v>
      </c>
      <c r="E67" s="71">
        <v>1856516</v>
      </c>
      <c r="F67" s="71">
        <v>1850934</v>
      </c>
    </row>
    <row r="68" spans="1:6" x14ac:dyDescent="0.25">
      <c r="A68" s="64" t="s">
        <v>53</v>
      </c>
      <c r="B68" s="66">
        <f>SUM(B69:B74)</f>
        <v>7793639.3240870815</v>
      </c>
      <c r="C68" s="66">
        <f>SUM(C69:C74)</f>
        <v>8903718.3690267168</v>
      </c>
      <c r="D68" s="66">
        <f>SUM(D69:D74)</f>
        <v>11604262</v>
      </c>
      <c r="E68" s="66">
        <f>SUM(E69:E74)</f>
        <v>6951303</v>
      </c>
      <c r="F68" s="66">
        <f>SUM(F69:F74)</f>
        <v>7283064</v>
      </c>
    </row>
    <row r="69" spans="1:6" x14ac:dyDescent="0.25">
      <c r="A69" s="69" t="s">
        <v>54</v>
      </c>
      <c r="B69" s="70">
        <v>3449684.3899299647</v>
      </c>
      <c r="C69" s="70">
        <v>3941036.6572951451</v>
      </c>
      <c r="D69" s="71">
        <v>6974949</v>
      </c>
      <c r="E69" s="71">
        <v>2209203</v>
      </c>
      <c r="F69" s="71">
        <v>2148783</v>
      </c>
    </row>
    <row r="70" spans="1:6" x14ac:dyDescent="0.25">
      <c r="A70" s="69" t="s">
        <v>55</v>
      </c>
      <c r="B70" s="70" t="s">
        <v>17</v>
      </c>
      <c r="C70" s="70" t="s">
        <v>17</v>
      </c>
      <c r="D70" s="71" t="s">
        <v>17</v>
      </c>
      <c r="E70" s="71" t="s">
        <v>17</v>
      </c>
      <c r="F70" s="71" t="s">
        <v>17</v>
      </c>
    </row>
    <row r="71" spans="1:6" x14ac:dyDescent="0.25">
      <c r="A71" s="69" t="s">
        <v>56</v>
      </c>
      <c r="B71" s="70">
        <v>23841.22070735892</v>
      </c>
      <c r="C71" s="70">
        <v>27237.020591403478</v>
      </c>
      <c r="D71" s="71">
        <v>26664</v>
      </c>
      <c r="E71" s="71">
        <v>26348</v>
      </c>
      <c r="F71" s="71">
        <v>26507</v>
      </c>
    </row>
    <row r="72" spans="1:6" x14ac:dyDescent="0.25">
      <c r="A72" s="69" t="s">
        <v>57</v>
      </c>
      <c r="B72" s="70" t="s">
        <v>17</v>
      </c>
      <c r="C72" s="70" t="s">
        <v>17</v>
      </c>
      <c r="D72" s="71" t="s">
        <v>17</v>
      </c>
      <c r="E72" s="71" t="s">
        <v>17</v>
      </c>
      <c r="F72" s="71" t="s">
        <v>17</v>
      </c>
    </row>
    <row r="73" spans="1:6" x14ac:dyDescent="0.25">
      <c r="A73" s="69" t="s">
        <v>58</v>
      </c>
      <c r="B73" s="70">
        <v>1183.0615058588446</v>
      </c>
      <c r="C73" s="70">
        <v>1351.5696612811466</v>
      </c>
      <c r="D73" s="71" t="s">
        <v>17</v>
      </c>
      <c r="E73" s="71">
        <v>663</v>
      </c>
      <c r="F73" s="71">
        <v>2038</v>
      </c>
    </row>
    <row r="74" spans="1:6" x14ac:dyDescent="0.25">
      <c r="A74" s="69" t="s">
        <v>59</v>
      </c>
      <c r="B74" s="70">
        <v>4318930.6519438997</v>
      </c>
      <c r="C74" s="70">
        <v>4934093.1214788873</v>
      </c>
      <c r="D74" s="71">
        <v>4602649</v>
      </c>
      <c r="E74" s="71">
        <v>4715089</v>
      </c>
      <c r="F74" s="71">
        <v>5105736</v>
      </c>
    </row>
    <row r="75" spans="1:6" x14ac:dyDescent="0.25">
      <c r="A75" s="64" t="s">
        <v>60</v>
      </c>
      <c r="B75" s="66">
        <f>SUM(B76:B80)</f>
        <v>442332657.50176919</v>
      </c>
      <c r="C75" s="66">
        <f>SUM(C76:C80)</f>
        <v>505335857.10681272</v>
      </c>
      <c r="D75" s="66">
        <f>SUM(D76:D80)</f>
        <v>472013980.5</v>
      </c>
      <c r="E75" s="66">
        <f>SUM(E76:E80)</f>
        <v>494505338.02999997</v>
      </c>
      <c r="F75" s="66">
        <f>SUM(F76:F80)</f>
        <v>510272010</v>
      </c>
    </row>
    <row r="76" spans="1:6" x14ac:dyDescent="0.25">
      <c r="A76" s="69" t="s">
        <v>61</v>
      </c>
      <c r="B76" s="70">
        <v>121690.73627733246</v>
      </c>
      <c r="C76" s="70">
        <v>139023.63182039963</v>
      </c>
      <c r="D76" s="71">
        <v>121294</v>
      </c>
      <c r="E76" s="71">
        <v>119800</v>
      </c>
      <c r="F76" s="71">
        <v>166331</v>
      </c>
    </row>
    <row r="77" spans="1:6" x14ac:dyDescent="0.25">
      <c r="A77" s="69" t="s">
        <v>62</v>
      </c>
      <c r="B77" s="70">
        <v>80486.031444878463</v>
      </c>
      <c r="C77" s="70">
        <v>91949.977003813823</v>
      </c>
      <c r="D77" s="71">
        <v>77543</v>
      </c>
      <c r="E77" s="71">
        <v>98518</v>
      </c>
      <c r="F77" s="71">
        <v>92979</v>
      </c>
    </row>
    <row r="78" spans="1:6" x14ac:dyDescent="0.25">
      <c r="A78" s="78" t="s">
        <v>63</v>
      </c>
      <c r="B78" s="70">
        <v>276082870.5156489</v>
      </c>
      <c r="C78" s="70">
        <v>315406451.76978958</v>
      </c>
      <c r="D78" s="71">
        <v>295471742</v>
      </c>
      <c r="E78" s="71">
        <v>309129716</v>
      </c>
      <c r="F78" s="71">
        <v>317063103</v>
      </c>
    </row>
    <row r="79" spans="1:6" x14ac:dyDescent="0.25">
      <c r="A79" s="78" t="s">
        <v>64</v>
      </c>
      <c r="B79" s="70">
        <v>145089954.13699681</v>
      </c>
      <c r="C79" s="70">
        <v>165755693.34062603</v>
      </c>
      <c r="D79" s="71">
        <v>152837763</v>
      </c>
      <c r="E79" s="71">
        <v>161885488</v>
      </c>
      <c r="F79" s="71">
        <v>169834152</v>
      </c>
    </row>
    <row r="80" spans="1:6" x14ac:dyDescent="0.25">
      <c r="A80" s="69" t="s">
        <v>65</v>
      </c>
      <c r="B80" s="70">
        <v>20957656.081401315</v>
      </c>
      <c r="C80" s="70">
        <v>23942738.387572881</v>
      </c>
      <c r="D80" s="71">
        <v>23505638.5</v>
      </c>
      <c r="E80" s="71">
        <v>23271816.030000001</v>
      </c>
      <c r="F80" s="71">
        <v>23115445</v>
      </c>
    </row>
    <row r="82" spans="1:6" x14ac:dyDescent="0.25">
      <c r="A82" s="80" t="s">
        <v>66</v>
      </c>
      <c r="B82" s="81">
        <v>3865849.6369674145</v>
      </c>
      <c r="C82" s="81">
        <v>4416477.9755950421</v>
      </c>
      <c r="D82" s="82">
        <v>1576341</v>
      </c>
      <c r="E82" s="82">
        <v>2191583</v>
      </c>
      <c r="F82" s="82">
        <v>9461153</v>
      </c>
    </row>
    <row r="83" spans="1:6" x14ac:dyDescent="0.25">
      <c r="A83" s="83" t="s">
        <v>67</v>
      </c>
      <c r="B83" s="84">
        <v>167151</v>
      </c>
      <c r="C83" s="84">
        <v>237172</v>
      </c>
      <c r="D83" s="84">
        <v>270740</v>
      </c>
      <c r="E83" s="84">
        <v>262020</v>
      </c>
      <c r="F83" s="84">
        <v>365730</v>
      </c>
    </row>
    <row r="84" spans="1:6" x14ac:dyDescent="0.25">
      <c r="A84" s="83" t="s">
        <v>68</v>
      </c>
      <c r="B84" s="84">
        <v>394371</v>
      </c>
      <c r="C84" s="84">
        <v>434015</v>
      </c>
      <c r="D84" s="84">
        <v>496806</v>
      </c>
      <c r="E84" s="84">
        <v>444372</v>
      </c>
      <c r="F84" s="84">
        <v>454456</v>
      </c>
    </row>
  </sheetData>
  <mergeCells count="8">
    <mergeCell ref="G27:T28"/>
    <mergeCell ref="G36:T37"/>
    <mergeCell ref="G39:T40"/>
    <mergeCell ref="G10:T11"/>
    <mergeCell ref="G7:T8"/>
    <mergeCell ref="G12:T13"/>
    <mergeCell ref="G18:T19"/>
    <mergeCell ref="G14:T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25522-2368-421E-86ED-9A878DB5EB29}">
  <dimension ref="A1:Q24"/>
  <sheetViews>
    <sheetView workbookViewId="0">
      <selection activeCell="A3" sqref="A3:B4"/>
    </sheetView>
  </sheetViews>
  <sheetFormatPr defaultColWidth="9.140625" defaultRowHeight="15" x14ac:dyDescent="0.25"/>
  <cols>
    <col min="1" max="1" width="36.85546875" style="130" bestFit="1" customWidth="1"/>
    <col min="2" max="2" width="17.28515625" style="2" bestFit="1" customWidth="1"/>
    <col min="3" max="3" width="12.140625" style="2" bestFit="1" customWidth="1"/>
    <col min="4" max="4" width="14.85546875" style="2" bestFit="1" customWidth="1"/>
    <col min="5" max="5" width="14.85546875" style="2" customWidth="1"/>
    <col min="6" max="6" width="31.28515625" style="130" customWidth="1"/>
    <col min="7" max="7" width="9.140625" style="130"/>
    <col min="8" max="8" width="27.85546875" style="130" bestFit="1" customWidth="1"/>
    <col min="9" max="9" width="16.42578125" style="130" customWidth="1"/>
    <col min="10" max="10" width="17.28515625" style="130" customWidth="1"/>
    <col min="11" max="12" width="17.5703125" style="130" customWidth="1"/>
    <col min="13" max="13" width="17.28515625" style="130" customWidth="1"/>
    <col min="14" max="14" width="16" style="130" customWidth="1"/>
    <col min="15" max="15" width="19.140625" style="130" customWidth="1"/>
    <col min="16" max="16" width="9.140625" style="130"/>
    <col min="17" max="17" width="18.5703125" style="130" bestFit="1" customWidth="1"/>
    <col min="18" max="16384" width="9.140625" style="130"/>
  </cols>
  <sheetData>
    <row r="1" spans="1:17" ht="30.75" thickBot="1" x14ac:dyDescent="0.3">
      <c r="A1" s="149"/>
      <c r="B1" s="150" t="s">
        <v>137</v>
      </c>
      <c r="C1" s="150" t="s">
        <v>138</v>
      </c>
      <c r="D1" s="150" t="s">
        <v>139</v>
      </c>
      <c r="E1" s="150" t="s">
        <v>140</v>
      </c>
      <c r="F1" s="151" t="s">
        <v>141</v>
      </c>
      <c r="H1" s="152">
        <v>2025</v>
      </c>
      <c r="I1" s="150" t="s">
        <v>138</v>
      </c>
      <c r="J1" s="153" t="s">
        <v>142</v>
      </c>
      <c r="K1" s="154" t="s">
        <v>143</v>
      </c>
      <c r="L1" s="154" t="s">
        <v>211</v>
      </c>
      <c r="M1" s="155" t="s">
        <v>144</v>
      </c>
      <c r="N1" s="156" t="s">
        <v>145</v>
      </c>
      <c r="O1" s="156" t="s">
        <v>146</v>
      </c>
      <c r="Q1" s="157" t="s">
        <v>147</v>
      </c>
    </row>
    <row r="2" spans="1:17" s="86" customFormat="1" ht="24.75" thickBot="1" x14ac:dyDescent="0.3">
      <c r="A2" s="158" t="s">
        <v>148</v>
      </c>
      <c r="B2" s="159" t="s">
        <v>149</v>
      </c>
      <c r="C2" s="159" t="s">
        <v>150</v>
      </c>
      <c r="D2" s="159" t="s">
        <v>151</v>
      </c>
      <c r="E2" s="159" t="s">
        <v>152</v>
      </c>
      <c r="F2" s="160" t="s">
        <v>153</v>
      </c>
      <c r="H2" s="11" t="s">
        <v>148</v>
      </c>
      <c r="I2" s="205">
        <v>84919090</v>
      </c>
      <c r="J2" s="12">
        <v>84919090</v>
      </c>
      <c r="K2" s="12">
        <f>I2</f>
        <v>84919090</v>
      </c>
      <c r="L2" s="12" t="s">
        <v>17</v>
      </c>
      <c r="M2" s="12">
        <v>83998515.911999911</v>
      </c>
      <c r="N2" s="161">
        <v>84131000.083636805</v>
      </c>
      <c r="O2" s="161" t="s">
        <v>17</v>
      </c>
      <c r="Q2" s="162" t="s">
        <v>154</v>
      </c>
    </row>
    <row r="3" spans="1:17" s="86" customFormat="1" ht="36" x14ac:dyDescent="0.25">
      <c r="A3" s="158" t="s">
        <v>155</v>
      </c>
      <c r="B3" s="159" t="s">
        <v>149</v>
      </c>
      <c r="C3" s="159" t="s">
        <v>150</v>
      </c>
      <c r="D3" s="159" t="s">
        <v>156</v>
      </c>
      <c r="E3" s="159" t="s">
        <v>157</v>
      </c>
      <c r="F3" s="160" t="s">
        <v>158</v>
      </c>
      <c r="H3" s="11" t="s">
        <v>155</v>
      </c>
      <c r="I3" s="205">
        <v>1358934</v>
      </c>
      <c r="J3" s="12">
        <v>1429758</v>
      </c>
      <c r="K3" s="161">
        <v>1407784.1085672849</v>
      </c>
      <c r="L3" s="206">
        <v>1386667.3469387756</v>
      </c>
      <c r="M3" s="12">
        <v>1336721.8299999731</v>
      </c>
      <c r="N3" s="51">
        <f>I3</f>
        <v>1358934</v>
      </c>
      <c r="O3" s="161">
        <v>1338549.99</v>
      </c>
      <c r="Q3" s="86" t="s">
        <v>212</v>
      </c>
    </row>
    <row r="4" spans="1:17" s="86" customFormat="1" ht="36" x14ac:dyDescent="0.25">
      <c r="A4" s="158" t="s">
        <v>159</v>
      </c>
      <c r="B4" s="159" t="s">
        <v>149</v>
      </c>
      <c r="C4" s="159" t="s">
        <v>150</v>
      </c>
      <c r="D4" s="159" t="s">
        <v>156</v>
      </c>
      <c r="E4" s="159" t="s">
        <v>160</v>
      </c>
      <c r="F4" s="160" t="s">
        <v>158</v>
      </c>
      <c r="H4" s="11" t="s">
        <v>159</v>
      </c>
      <c r="I4" s="205">
        <v>1588871</v>
      </c>
      <c r="J4" s="12">
        <v>1778910</v>
      </c>
      <c r="K4" s="161">
        <v>1645986.7398736146</v>
      </c>
      <c r="L4" s="161">
        <v>1621296.9387755103</v>
      </c>
      <c r="M4" s="12">
        <v>1677730.7999999926</v>
      </c>
      <c r="N4" s="12">
        <f>I4</f>
        <v>1588871</v>
      </c>
      <c r="O4" s="161">
        <v>1565037.9350000001</v>
      </c>
    </row>
    <row r="5" spans="1:17" s="86" customFormat="1" ht="72" x14ac:dyDescent="0.25">
      <c r="A5" s="158" t="s">
        <v>161</v>
      </c>
      <c r="B5" s="159" t="s">
        <v>162</v>
      </c>
      <c r="C5" s="159" t="s">
        <v>151</v>
      </c>
      <c r="D5" s="159" t="s">
        <v>156</v>
      </c>
      <c r="E5" s="159" t="s">
        <v>152</v>
      </c>
      <c r="F5" s="160" t="s">
        <v>163</v>
      </c>
      <c r="H5" s="11" t="s">
        <v>161</v>
      </c>
      <c r="I5" s="205">
        <v>686630</v>
      </c>
      <c r="J5" s="12">
        <v>743700</v>
      </c>
      <c r="K5" s="161">
        <v>711312.54532269761</v>
      </c>
      <c r="L5" s="161">
        <v>700642.85714285716</v>
      </c>
      <c r="M5" s="12">
        <v>676340.4000000105</v>
      </c>
      <c r="N5" s="12">
        <f>I5</f>
        <v>686630</v>
      </c>
      <c r="O5" s="161">
        <v>676330.55</v>
      </c>
    </row>
    <row r="6" spans="1:17" s="86" customFormat="1" ht="48" x14ac:dyDescent="0.25">
      <c r="A6" s="158" t="s">
        <v>164</v>
      </c>
      <c r="B6" s="159" t="s">
        <v>162</v>
      </c>
      <c r="C6" s="159" t="s">
        <v>150</v>
      </c>
      <c r="D6" s="159" t="s">
        <v>156</v>
      </c>
      <c r="E6" s="159" t="s">
        <v>160</v>
      </c>
      <c r="F6" s="160" t="s">
        <v>165</v>
      </c>
      <c r="H6" s="11" t="s">
        <v>164</v>
      </c>
      <c r="I6" s="205">
        <v>63032</v>
      </c>
      <c r="J6" s="163" t="s">
        <v>17</v>
      </c>
      <c r="K6" s="161">
        <v>65297.834869988612</v>
      </c>
      <c r="L6" s="161">
        <v>64318.36734693878</v>
      </c>
      <c r="M6" s="12" t="s">
        <v>17</v>
      </c>
      <c r="N6" s="12">
        <f>I6</f>
        <v>63032</v>
      </c>
      <c r="O6" s="161">
        <v>62086.52</v>
      </c>
    </row>
    <row r="7" spans="1:17" s="86" customFormat="1" ht="48" x14ac:dyDescent="0.25">
      <c r="A7" s="158" t="s">
        <v>166</v>
      </c>
      <c r="B7" s="159" t="s">
        <v>149</v>
      </c>
      <c r="C7" s="159" t="s">
        <v>167</v>
      </c>
      <c r="D7" s="159" t="s">
        <v>156</v>
      </c>
      <c r="E7" s="159" t="s">
        <v>152</v>
      </c>
      <c r="F7" s="160" t="s">
        <v>168</v>
      </c>
      <c r="H7" s="298" t="s">
        <v>166</v>
      </c>
      <c r="I7" s="205">
        <v>15906</v>
      </c>
      <c r="J7" s="12">
        <v>8350.9360000000052</v>
      </c>
      <c r="K7" s="12">
        <f>I8</f>
        <v>16290</v>
      </c>
      <c r="L7" s="12">
        <f>I8</f>
        <v>16290</v>
      </c>
      <c r="M7" s="12">
        <v>7958.9360000000106</v>
      </c>
      <c r="N7" s="12">
        <f>I7</f>
        <v>15906</v>
      </c>
      <c r="O7" s="161">
        <v>15667.41</v>
      </c>
    </row>
    <row r="8" spans="1:17" x14ac:dyDescent="0.25">
      <c r="H8" s="298"/>
      <c r="I8" s="205">
        <v>16290</v>
      </c>
    </row>
    <row r="9" spans="1:17" x14ac:dyDescent="0.25">
      <c r="N9" s="176" t="s">
        <v>213</v>
      </c>
    </row>
    <row r="16" spans="1:17" ht="15.75" thickBot="1" x14ac:dyDescent="0.3">
      <c r="B16" s="6" t="s">
        <v>169</v>
      </c>
      <c r="C16" s="6" t="s">
        <v>170</v>
      </c>
      <c r="D16" s="6">
        <v>2023</v>
      </c>
      <c r="E16" s="6">
        <v>2024</v>
      </c>
      <c r="F16" s="6">
        <v>2025</v>
      </c>
    </row>
    <row r="17" spans="1:6" x14ac:dyDescent="0.25">
      <c r="A17" s="61" t="s">
        <v>171</v>
      </c>
      <c r="B17" s="164">
        <v>80482241.833000004</v>
      </c>
      <c r="C17" s="164">
        <v>69688542.513999999</v>
      </c>
      <c r="D17" s="164">
        <v>72498380.518999994</v>
      </c>
      <c r="E17" s="164">
        <v>92412401.651999995</v>
      </c>
      <c r="F17" s="164">
        <v>88879808.936000004</v>
      </c>
    </row>
    <row r="18" spans="1:6" x14ac:dyDescent="0.25">
      <c r="A18" s="165" t="s">
        <v>172</v>
      </c>
      <c r="B18" s="164">
        <v>80308831.172692433</v>
      </c>
      <c r="C18" s="164">
        <v>69650493.737698123</v>
      </c>
      <c r="D18" s="164">
        <v>71919790.8639801</v>
      </c>
      <c r="E18" s="164">
        <v>92428560.579612568</v>
      </c>
      <c r="F18" s="164">
        <v>88765761.228633597</v>
      </c>
    </row>
    <row r="19" spans="1:6" ht="15.75" thickBot="1" x14ac:dyDescent="0.3">
      <c r="A19" s="166" t="s">
        <v>173</v>
      </c>
      <c r="B19" s="167">
        <v>80286607.755102038</v>
      </c>
      <c r="C19" s="167">
        <v>69613704.081632659</v>
      </c>
      <c r="D19" s="167">
        <v>71889997.551020399</v>
      </c>
      <c r="E19" s="167">
        <v>92359314.795918375</v>
      </c>
      <c r="F19" s="167">
        <v>88708305.510204077</v>
      </c>
    </row>
    <row r="20" spans="1:6" x14ac:dyDescent="0.25">
      <c r="A20" s="168" t="s">
        <v>174</v>
      </c>
      <c r="B20" s="169">
        <v>79443551.829000071</v>
      </c>
      <c r="C20" s="169">
        <v>68742663.103999987</v>
      </c>
      <c r="D20" s="169">
        <v>71509666.165000051</v>
      </c>
      <c r="E20" s="169">
        <v>91173672.284000129</v>
      </c>
      <c r="F20" s="169">
        <v>87697267.877999887</v>
      </c>
    </row>
    <row r="21" spans="1:6" x14ac:dyDescent="0.25">
      <c r="A21" s="170" t="s">
        <v>175</v>
      </c>
      <c r="B21" s="171">
        <v>79525866.097310409</v>
      </c>
      <c r="C21" s="171">
        <v>68941758.697032005</v>
      </c>
      <c r="D21" s="171">
        <v>71201851.90228641</v>
      </c>
      <c r="E21" s="171">
        <v>91453875.756948799</v>
      </c>
      <c r="F21" s="171">
        <v>87844373.083636805</v>
      </c>
    </row>
    <row r="22" spans="1:6" ht="15.75" thickBot="1" x14ac:dyDescent="0.3">
      <c r="A22" s="172" t="s">
        <v>176</v>
      </c>
      <c r="B22" s="173">
        <v>79504413.832310408</v>
      </c>
      <c r="C22" s="173">
        <v>68906245.642032012</v>
      </c>
      <c r="D22" s="173">
        <v>71173092.417286426</v>
      </c>
      <c r="E22" s="173">
        <v>91386097.581948787</v>
      </c>
      <c r="F22" s="173">
        <v>87788672.488636792</v>
      </c>
    </row>
    <row r="23" spans="1:6" x14ac:dyDescent="0.25">
      <c r="A23" s="174" t="s">
        <v>177</v>
      </c>
      <c r="C23" s="174"/>
    </row>
    <row r="24" spans="1:6" x14ac:dyDescent="0.25">
      <c r="A24" s="174" t="s">
        <v>178</v>
      </c>
    </row>
  </sheetData>
  <mergeCells count="1">
    <mergeCell ref="H7:H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55AF4-1C7E-4F54-9302-1D0094596D81}">
  <dimension ref="A1:G15"/>
  <sheetViews>
    <sheetView zoomScale="130" zoomScaleNormal="130" workbookViewId="0">
      <selection activeCell="F15" sqref="F15"/>
    </sheetView>
  </sheetViews>
  <sheetFormatPr defaultRowHeight="15" x14ac:dyDescent="0.25"/>
  <cols>
    <col min="1" max="1" width="31.42578125" bestFit="1" customWidth="1"/>
    <col min="2" max="6" width="13.28515625" customWidth="1"/>
  </cols>
  <sheetData>
    <row r="1" spans="1:7" ht="19.5" thickBot="1" x14ac:dyDescent="0.35">
      <c r="A1" s="96" t="s">
        <v>78</v>
      </c>
      <c r="B1" s="95">
        <v>2021</v>
      </c>
      <c r="C1" s="95">
        <v>2022</v>
      </c>
      <c r="D1" s="95">
        <v>2023</v>
      </c>
      <c r="E1" s="95">
        <v>2024</v>
      </c>
      <c r="F1" s="95">
        <v>2025</v>
      </c>
    </row>
    <row r="2" spans="1:7" x14ac:dyDescent="0.25">
      <c r="A2" s="218" t="s">
        <v>180</v>
      </c>
      <c r="B2" s="51">
        <v>1514491.3670000001</v>
      </c>
      <c r="C2" s="51">
        <v>5152452</v>
      </c>
      <c r="D2" s="51">
        <v>9351350.5199999996</v>
      </c>
      <c r="E2" s="51">
        <v>12009972.24</v>
      </c>
      <c r="F2" s="51">
        <v>16016457.390999999</v>
      </c>
      <c r="G2" s="175" t="s">
        <v>181</v>
      </c>
    </row>
    <row r="3" spans="1:7" s="177" customFormat="1" x14ac:dyDescent="0.25">
      <c r="A3" s="184" t="s">
        <v>188</v>
      </c>
      <c r="B3" s="185">
        <v>3471943.3938959492</v>
      </c>
      <c r="C3" s="185">
        <v>4610139.2587793246</v>
      </c>
      <c r="D3" s="185">
        <v>6871890.823198528</v>
      </c>
      <c r="E3" s="185">
        <v>10297999.490639918</v>
      </c>
      <c r="F3" s="185">
        <v>12545725.659649078</v>
      </c>
      <c r="G3" s="207">
        <f>(F2-F3)/F2</f>
        <v>0.21669784064116462</v>
      </c>
    </row>
    <row r="4" spans="1:7" x14ac:dyDescent="0.25">
      <c r="A4" s="180" t="s">
        <v>84</v>
      </c>
      <c r="B4" s="181">
        <f>B2/B5</f>
        <v>0.81182536569080388</v>
      </c>
      <c r="C4" s="181">
        <f t="shared" ref="C4:E4" si="0">C2/C5</f>
        <v>0.81681437365725718</v>
      </c>
      <c r="D4" s="181">
        <f t="shared" si="0"/>
        <v>0.76552922069656038</v>
      </c>
      <c r="E4" s="181">
        <f t="shared" si="0"/>
        <v>0.68967256212715333</v>
      </c>
      <c r="G4" s="179">
        <f>AVERAGE(B4:E4)</f>
        <v>0.77096038054294369</v>
      </c>
    </row>
    <row r="5" spans="1:7" x14ac:dyDescent="0.25">
      <c r="A5" s="187" t="s">
        <v>179</v>
      </c>
      <c r="B5" s="188">
        <v>1865538.3670000001</v>
      </c>
      <c r="C5" s="189">
        <v>6307984</v>
      </c>
      <c r="D5" s="189">
        <v>12215537</v>
      </c>
      <c r="E5" s="189">
        <v>17414020.651999999</v>
      </c>
      <c r="F5" s="190">
        <f>F2/$G$4</f>
        <v>20774682.843910236</v>
      </c>
    </row>
    <row r="6" spans="1:7" x14ac:dyDescent="0.25">
      <c r="A6" s="208" t="s">
        <v>182</v>
      </c>
      <c r="B6" s="209">
        <v>1865538.3670000001</v>
      </c>
      <c r="C6" s="210">
        <v>6307984</v>
      </c>
      <c r="D6" s="210">
        <v>12215537</v>
      </c>
      <c r="E6" s="210">
        <v>17414020.651999999</v>
      </c>
      <c r="F6" s="210">
        <v>23092405.579</v>
      </c>
    </row>
    <row r="7" spans="1:7" x14ac:dyDescent="0.25">
      <c r="A7" s="191" t="s">
        <v>102</v>
      </c>
      <c r="B7" s="192">
        <v>5750653.8639999982</v>
      </c>
      <c r="C7" s="192">
        <v>8945101.6260000002</v>
      </c>
      <c r="D7" s="192">
        <v>13821905.144000001</v>
      </c>
      <c r="E7" s="192">
        <v>18670633.052000005</v>
      </c>
      <c r="F7" s="192">
        <v>23243006.370999996</v>
      </c>
    </row>
    <row r="8" spans="1:7" s="177" customFormat="1" x14ac:dyDescent="0.25">
      <c r="A8" s="193" t="s">
        <v>183</v>
      </c>
      <c r="B8" s="188">
        <f>B10+B12</f>
        <v>2805388.2039999999</v>
      </c>
      <c r="C8" s="188">
        <f>C10+C12</f>
        <v>5970312.7960000001</v>
      </c>
      <c r="D8" s="188">
        <f>D10+D12</f>
        <v>11202123.223999999</v>
      </c>
      <c r="E8" s="188">
        <f>E10+E12</f>
        <v>15841104.672000002</v>
      </c>
      <c r="F8" s="190">
        <f>F2/$G$4</f>
        <v>20774682.843910236</v>
      </c>
    </row>
    <row r="9" spans="1:7" s="177" customFormat="1" x14ac:dyDescent="0.25">
      <c r="A9" s="193" t="s">
        <v>184</v>
      </c>
      <c r="B9" s="188">
        <f>B11+B12</f>
        <v>2805388.2039999999</v>
      </c>
      <c r="C9" s="188">
        <f t="shared" ref="C9:E9" si="1">C11+C12</f>
        <v>5970312.7960000001</v>
      </c>
      <c r="D9" s="188">
        <f t="shared" si="1"/>
        <v>11202123.223999999</v>
      </c>
      <c r="E9" s="188">
        <f t="shared" si="1"/>
        <v>15841104.672000002</v>
      </c>
      <c r="F9" s="188">
        <f>F11+F12</f>
        <v>20687111.560999997</v>
      </c>
    </row>
    <row r="10" spans="1:7" x14ac:dyDescent="0.25">
      <c r="A10" s="182" t="s">
        <v>183</v>
      </c>
      <c r="B10" s="183">
        <v>1562812</v>
      </c>
      <c r="C10" s="183">
        <v>4424416</v>
      </c>
      <c r="D10" s="183">
        <v>6973003</v>
      </c>
      <c r="E10" s="183">
        <v>9484159</v>
      </c>
    </row>
    <row r="11" spans="1:7" x14ac:dyDescent="0.25">
      <c r="A11" s="182" t="s">
        <v>184</v>
      </c>
      <c r="B11" s="183">
        <v>1562812</v>
      </c>
      <c r="C11" s="183">
        <v>4424416</v>
      </c>
      <c r="D11" s="183">
        <v>6973003</v>
      </c>
      <c r="E11" s="183">
        <v>9484159</v>
      </c>
      <c r="F11" s="183">
        <v>12580745</v>
      </c>
    </row>
    <row r="12" spans="1:7" x14ac:dyDescent="0.25">
      <c r="A12" s="214" t="s">
        <v>185</v>
      </c>
      <c r="B12" s="215">
        <v>1242576.2040000001</v>
      </c>
      <c r="C12" s="215">
        <v>1545896.7960000001</v>
      </c>
      <c r="D12" s="215">
        <v>4229120.2240000004</v>
      </c>
      <c r="E12" s="215">
        <v>6356945.6720000012</v>
      </c>
      <c r="F12" s="215">
        <v>8106366.5609999979</v>
      </c>
      <c r="G12" t="s">
        <v>186</v>
      </c>
    </row>
    <row r="13" spans="1:7" x14ac:dyDescent="0.25">
      <c r="A13" s="216" t="s">
        <v>187</v>
      </c>
      <c r="B13" s="217">
        <f>B7-B12</f>
        <v>4508077.6599999983</v>
      </c>
      <c r="C13" s="217">
        <f t="shared" ref="C13:F13" si="2">C7-C12</f>
        <v>7399204.8300000001</v>
      </c>
      <c r="D13" s="217">
        <f t="shared" si="2"/>
        <v>9592784.9200000018</v>
      </c>
      <c r="E13" s="217">
        <f t="shared" si="2"/>
        <v>12313687.380000003</v>
      </c>
      <c r="F13" s="217">
        <f t="shared" si="2"/>
        <v>15136639.809999999</v>
      </c>
    </row>
    <row r="14" spans="1:7" x14ac:dyDescent="0.25">
      <c r="A14" s="211" t="s">
        <v>214</v>
      </c>
      <c r="B14" s="212">
        <f>B6-B2</f>
        <v>351047</v>
      </c>
      <c r="C14" s="212">
        <f t="shared" ref="C14:E14" si="3">C6-C2</f>
        <v>1155532</v>
      </c>
      <c r="D14" s="212">
        <f t="shared" si="3"/>
        <v>2864186.4800000004</v>
      </c>
      <c r="E14" s="212">
        <f t="shared" si="3"/>
        <v>5404048.4119999986</v>
      </c>
      <c r="F14" s="212">
        <f>F6-F2</f>
        <v>7075948.188000001</v>
      </c>
    </row>
    <row r="15" spans="1:7" x14ac:dyDescent="0.25">
      <c r="A15" s="211" t="s">
        <v>215</v>
      </c>
      <c r="B15" s="213">
        <f>B14/B6</f>
        <v>0.18817463430919618</v>
      </c>
      <c r="C15" s="213">
        <f t="shared" ref="C15:E15" si="4">C14/C6</f>
        <v>0.1831856263427428</v>
      </c>
      <c r="D15" s="213">
        <f t="shared" si="4"/>
        <v>0.23447077930343957</v>
      </c>
      <c r="E15" s="213">
        <f t="shared" si="4"/>
        <v>0.31032743787284667</v>
      </c>
      <c r="F15" s="213">
        <f>F14/F6</f>
        <v>0.3064188424975004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08D0A-750C-418B-97B1-188C11C4F313}">
  <dimension ref="A1:G19"/>
  <sheetViews>
    <sheetView zoomScale="130" zoomScaleNormal="130" workbookViewId="0">
      <selection activeCell="A22" sqref="A22"/>
    </sheetView>
  </sheetViews>
  <sheetFormatPr defaultColWidth="9.140625" defaultRowHeight="15" x14ac:dyDescent="0.25"/>
  <cols>
    <col min="1" max="1" width="53.5703125" style="177" bestFit="1" customWidth="1"/>
    <col min="2" max="2" width="10.85546875" style="177" bestFit="1" customWidth="1"/>
    <col min="3" max="5" width="12.7109375" style="177" bestFit="1" customWidth="1"/>
    <col min="6" max="6" width="11.140625" style="177" bestFit="1" customWidth="1"/>
    <col min="7" max="16384" width="9.140625" style="177"/>
  </cols>
  <sheetData>
    <row r="1" spans="1:7" ht="16.5" thickBot="1" x14ac:dyDescent="0.3">
      <c r="A1" s="5" t="s">
        <v>78</v>
      </c>
      <c r="B1" s="6">
        <v>2021</v>
      </c>
      <c r="C1" s="6">
        <v>2022</v>
      </c>
      <c r="D1" s="6">
        <v>2023</v>
      </c>
      <c r="E1" s="6">
        <v>2024</v>
      </c>
      <c r="F1" s="6">
        <v>2025</v>
      </c>
    </row>
    <row r="2" spans="1:7" x14ac:dyDescent="0.25">
      <c r="A2" s="299" t="s">
        <v>189</v>
      </c>
      <c r="B2" s="299"/>
      <c r="C2" s="299"/>
      <c r="D2" s="299"/>
      <c r="E2" s="299"/>
      <c r="F2" s="299"/>
    </row>
    <row r="3" spans="1:7" ht="15.75" customHeight="1" x14ac:dyDescent="0.25">
      <c r="A3" s="113" t="s">
        <v>191</v>
      </c>
      <c r="B3" s="112">
        <v>21679883.600000098</v>
      </c>
      <c r="C3" s="112">
        <v>23566534.900000051</v>
      </c>
      <c r="D3" s="112">
        <v>21220866.199999962</v>
      </c>
      <c r="E3" s="112">
        <v>20688259.599999972</v>
      </c>
      <c r="F3" s="112">
        <v>21555664.2000001</v>
      </c>
      <c r="G3" s="202" t="s">
        <v>192</v>
      </c>
    </row>
    <row r="4" spans="1:7" ht="15.75" customHeight="1" x14ac:dyDescent="0.25">
      <c r="A4" s="199" t="s">
        <v>204</v>
      </c>
      <c r="B4" s="200">
        <f>21684.14*1000</f>
        <v>21684140</v>
      </c>
      <c r="C4" s="200">
        <f>23755*1000</f>
        <v>23755000</v>
      </c>
      <c r="D4" s="200">
        <f>21111.76*1000</f>
        <v>21111760</v>
      </c>
      <c r="E4" s="200">
        <f>20441.99*1000</f>
        <v>20441990</v>
      </c>
      <c r="F4" s="200">
        <f>21346.37*1000</f>
        <v>21346370</v>
      </c>
      <c r="G4" s="201" t="s">
        <v>201</v>
      </c>
    </row>
    <row r="5" spans="1:7" ht="15.75" customHeight="1" x14ac:dyDescent="0.25">
      <c r="A5" s="199" t="s">
        <v>202</v>
      </c>
      <c r="B5" s="200">
        <f>16889.01*1000</f>
        <v>16889010</v>
      </c>
      <c r="C5" s="200">
        <f>18760.47*1000</f>
        <v>18760470</v>
      </c>
      <c r="D5" s="200">
        <f>16768.69*1000</f>
        <v>16768689.999999998</v>
      </c>
      <c r="E5" s="200">
        <f>15809.17*1000</f>
        <v>15809170</v>
      </c>
      <c r="F5" s="200">
        <f>16711.33*1000</f>
        <v>16711330.000000002</v>
      </c>
      <c r="G5" s="201" t="s">
        <v>203</v>
      </c>
    </row>
    <row r="6" spans="1:7" x14ac:dyDescent="0.25">
      <c r="A6" s="16" t="s">
        <v>205</v>
      </c>
      <c r="B6" s="12">
        <v>16896690</v>
      </c>
      <c r="C6" s="12">
        <v>18764510</v>
      </c>
      <c r="D6" s="12">
        <v>16607310</v>
      </c>
      <c r="E6" s="12">
        <v>15821700</v>
      </c>
      <c r="F6" s="12">
        <v>16707770</v>
      </c>
      <c r="G6" s="194" t="s">
        <v>190</v>
      </c>
    </row>
    <row r="7" spans="1:7" ht="15.75" customHeight="1" x14ac:dyDescent="0.25">
      <c r="A7" s="187" t="s">
        <v>193</v>
      </c>
      <c r="B7" s="195">
        <v>0.8518</v>
      </c>
      <c r="C7" s="195">
        <v>0.8518</v>
      </c>
      <c r="D7" s="195">
        <v>0.84709999999999996</v>
      </c>
      <c r="E7" s="195">
        <v>0.84289999999999998</v>
      </c>
      <c r="F7" s="196">
        <v>0.84209999999999996</v>
      </c>
      <c r="G7" s="177" t="s">
        <v>194</v>
      </c>
    </row>
    <row r="8" spans="1:7" ht="15.75" customHeight="1" x14ac:dyDescent="0.25">
      <c r="A8" s="197" t="s">
        <v>195</v>
      </c>
      <c r="B8" s="198">
        <f t="shared" ref="B8:E8" si="0">B3*B7</f>
        <v>18466924.850480083</v>
      </c>
      <c r="C8" s="198">
        <f t="shared" si="0"/>
        <v>20073974.427820042</v>
      </c>
      <c r="D8" s="198">
        <f t="shared" si="0"/>
        <v>17976195.758019969</v>
      </c>
      <c r="E8" s="198">
        <f t="shared" si="0"/>
        <v>17438134.016839977</v>
      </c>
      <c r="F8" s="198">
        <f>F3*F7</f>
        <v>18152024.822820082</v>
      </c>
    </row>
    <row r="9" spans="1:7" ht="15.75" customHeight="1" x14ac:dyDescent="0.25">
      <c r="A9" s="113" t="s">
        <v>210</v>
      </c>
      <c r="B9" s="112">
        <v>18466924.85048008</v>
      </c>
      <c r="C9" s="112">
        <v>20073974.427820042</v>
      </c>
      <c r="D9" s="112">
        <v>17976195.758019969</v>
      </c>
      <c r="E9" s="112">
        <v>17438134.016839977</v>
      </c>
      <c r="F9" s="112">
        <v>18169269.354180083</v>
      </c>
    </row>
    <row r="10" spans="1:7" ht="15.75" customHeight="1" x14ac:dyDescent="0.25">
      <c r="A10" s="197" t="s">
        <v>196</v>
      </c>
      <c r="B10" s="198">
        <f t="shared" ref="B10:E10" si="1">B3-B8</f>
        <v>3212958.749520015</v>
      </c>
      <c r="C10" s="198">
        <f t="shared" si="1"/>
        <v>3492560.4721800089</v>
      </c>
      <c r="D10" s="198">
        <f t="shared" si="1"/>
        <v>3244670.4419799931</v>
      </c>
      <c r="E10" s="198">
        <f t="shared" si="1"/>
        <v>3250125.5831599943</v>
      </c>
      <c r="F10" s="198">
        <f>F3-F8</f>
        <v>3403639.3771800175</v>
      </c>
    </row>
    <row r="11" spans="1:7" x14ac:dyDescent="0.25">
      <c r="A11" s="300" t="s">
        <v>197</v>
      </c>
      <c r="B11" s="300"/>
      <c r="C11" s="300"/>
      <c r="D11" s="300"/>
      <c r="E11" s="300"/>
      <c r="F11" s="300"/>
    </row>
    <row r="12" spans="1:7" x14ac:dyDescent="0.25">
      <c r="A12" s="16" t="s">
        <v>206</v>
      </c>
      <c r="B12" s="51">
        <v>6992680</v>
      </c>
      <c r="C12" s="51">
        <v>5530800</v>
      </c>
      <c r="D12" s="51">
        <v>8599440</v>
      </c>
      <c r="E12" s="51">
        <v>7724070</v>
      </c>
      <c r="F12" s="51">
        <v>5305620</v>
      </c>
      <c r="G12" s="177" t="s">
        <v>208</v>
      </c>
    </row>
    <row r="13" spans="1:7" x14ac:dyDescent="0.25">
      <c r="A13" s="113" t="s">
        <v>209</v>
      </c>
      <c r="B13" s="112">
        <v>6992680</v>
      </c>
      <c r="C13" s="112">
        <v>5532590</v>
      </c>
      <c r="D13" s="112">
        <v>8597640</v>
      </c>
      <c r="E13" s="112">
        <v>7724080</v>
      </c>
      <c r="F13" s="112">
        <v>5305790</v>
      </c>
    </row>
    <row r="14" spans="1:7" x14ac:dyDescent="0.25">
      <c r="A14" s="186" t="s">
        <v>207</v>
      </c>
      <c r="B14" s="17">
        <f>B12</f>
        <v>6992680</v>
      </c>
      <c r="C14" s="17">
        <f t="shared" ref="C14:F14" si="2">C12</f>
        <v>5530800</v>
      </c>
      <c r="D14" s="17">
        <f t="shared" si="2"/>
        <v>8599440</v>
      </c>
      <c r="E14" s="17">
        <f t="shared" si="2"/>
        <v>7724070</v>
      </c>
      <c r="F14" s="17">
        <f t="shared" si="2"/>
        <v>5305620</v>
      </c>
    </row>
    <row r="15" spans="1:7" x14ac:dyDescent="0.25">
      <c r="A15" s="186" t="s">
        <v>216</v>
      </c>
      <c r="B15" s="219">
        <f t="shared" ref="B15:E15" si="3">B14/(1-1.03%)</f>
        <v>7065454.1780337477</v>
      </c>
      <c r="C15" s="219">
        <f t="shared" si="3"/>
        <v>5588360.1091239769</v>
      </c>
      <c r="D15" s="219">
        <f t="shared" si="3"/>
        <v>8688936.0412246138</v>
      </c>
      <c r="E15" s="219">
        <f t="shared" si="3"/>
        <v>7804455.8957259776</v>
      </c>
      <c r="F15" s="219">
        <f>F14/(1-1.03%)</f>
        <v>5360836.6171567142</v>
      </c>
      <c r="G15" s="177" t="s">
        <v>217</v>
      </c>
    </row>
    <row r="16" spans="1:7" x14ac:dyDescent="0.25">
      <c r="A16" s="113" t="s">
        <v>198</v>
      </c>
      <c r="B16" s="220">
        <v>7065753.5060002115</v>
      </c>
      <c r="C16" s="220">
        <v>5590405.5654998338</v>
      </c>
      <c r="D16" s="220">
        <v>8687485.3380002063</v>
      </c>
      <c r="E16" s="220">
        <v>7804796.6360002253</v>
      </c>
      <c r="F16" s="220">
        <v>5361235.5054997718</v>
      </c>
      <c r="G16" s="202" t="s">
        <v>192</v>
      </c>
    </row>
    <row r="17" spans="1:7" x14ac:dyDescent="0.25">
      <c r="A17" s="203" t="s">
        <v>199</v>
      </c>
      <c r="B17" s="204">
        <f>B15-B12</f>
        <v>72774.17803374771</v>
      </c>
      <c r="C17" s="204">
        <f>C15-C12</f>
        <v>57560.109123976901</v>
      </c>
      <c r="D17" s="204">
        <f>D15-D12</f>
        <v>89496.041224613786</v>
      </c>
      <c r="E17" s="204">
        <f>E15-E12</f>
        <v>80385.895725977607</v>
      </c>
      <c r="F17" s="204">
        <f>F15-F12</f>
        <v>55216.617156714201</v>
      </c>
      <c r="G17" s="176" t="s">
        <v>200</v>
      </c>
    </row>
    <row r="18" spans="1:7" x14ac:dyDescent="0.25">
      <c r="B18" s="178">
        <f t="shared" ref="B18:E18" si="4">(B16-B13)</f>
        <v>73073.506000211462</v>
      </c>
      <c r="C18" s="178">
        <f t="shared" si="4"/>
        <v>57815.565499833785</v>
      </c>
      <c r="D18" s="178">
        <f t="shared" si="4"/>
        <v>89845.338000206277</v>
      </c>
      <c r="E18" s="178">
        <f t="shared" si="4"/>
        <v>80716.63600022532</v>
      </c>
      <c r="F18" s="178">
        <f>(F16-F13)</f>
        <v>55445.505499771796</v>
      </c>
    </row>
    <row r="19" spans="1:7" x14ac:dyDescent="0.25">
      <c r="B19" s="46">
        <f t="shared" ref="B19:E19" si="5">B18/B16</f>
        <v>1.0341926864298013E-2</v>
      </c>
      <c r="C19" s="46">
        <f t="shared" si="5"/>
        <v>1.034192686423897E-2</v>
      </c>
      <c r="D19" s="46">
        <f t="shared" si="5"/>
        <v>1.0341926864291895E-2</v>
      </c>
      <c r="E19" s="46">
        <f t="shared" si="5"/>
        <v>1.0341926864296967E-2</v>
      </c>
      <c r="F19" s="46">
        <f>F18/F16</f>
        <v>1.034192686422627E-2</v>
      </c>
    </row>
  </sheetData>
  <mergeCells count="2">
    <mergeCell ref="A2:F2"/>
    <mergeCell ref="A11:F1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88A05-55FE-4662-9EC3-BDB9BCAD0514}">
  <dimension ref="A1:G7"/>
  <sheetViews>
    <sheetView workbookViewId="0">
      <selection activeCell="F3" sqref="F3"/>
    </sheetView>
  </sheetViews>
  <sheetFormatPr defaultRowHeight="15" x14ac:dyDescent="0.25"/>
  <cols>
    <col min="1" max="1" width="39.7109375" bestFit="1" customWidth="1"/>
    <col min="2" max="2" width="11.140625" bestFit="1" customWidth="1"/>
    <col min="3" max="3" width="10.140625" bestFit="1" customWidth="1"/>
    <col min="4" max="6" width="11.140625" bestFit="1" customWidth="1"/>
  </cols>
  <sheetData>
    <row r="1" spans="1:7" ht="18.75" x14ac:dyDescent="0.3">
      <c r="A1" s="3" t="s">
        <v>80</v>
      </c>
    </row>
    <row r="2" spans="1:7" ht="19.5" thickBot="1" x14ac:dyDescent="0.35">
      <c r="A2" s="96" t="s">
        <v>78</v>
      </c>
      <c r="B2" s="95">
        <v>2021</v>
      </c>
      <c r="C2" s="95">
        <v>2022</v>
      </c>
      <c r="D2" s="95">
        <v>2023</v>
      </c>
      <c r="E2" s="95">
        <v>2024</v>
      </c>
      <c r="F2" s="95">
        <v>2025</v>
      </c>
    </row>
    <row r="3" spans="1:7" x14ac:dyDescent="0.25">
      <c r="A3" s="11" t="s">
        <v>4</v>
      </c>
      <c r="B3" s="221">
        <v>79301423.47100009</v>
      </c>
      <c r="C3" s="221">
        <v>68744480.825000003</v>
      </c>
      <c r="D3" s="221">
        <v>71006025.58600007</v>
      </c>
      <c r="E3" s="221">
        <v>91243908.79200013</v>
      </c>
      <c r="F3" s="221">
        <v>87667671.836999908</v>
      </c>
      <c r="G3" t="s">
        <v>136</v>
      </c>
    </row>
    <row r="4" spans="1:7" x14ac:dyDescent="0.25">
      <c r="A4" s="16" t="s">
        <v>6</v>
      </c>
      <c r="B4" s="17">
        <v>1514491.3670000001</v>
      </c>
      <c r="C4" s="12">
        <v>5152452</v>
      </c>
      <c r="D4" s="12">
        <v>9351350.5199999996</v>
      </c>
      <c r="E4" s="12">
        <v>12009972.24</v>
      </c>
      <c r="F4" s="12">
        <v>16016457.390999999</v>
      </c>
    </row>
    <row r="5" spans="1:7" x14ac:dyDescent="0.25">
      <c r="A5" s="19" t="s">
        <v>81</v>
      </c>
      <c r="B5" s="20">
        <v>16896690</v>
      </c>
      <c r="C5" s="20">
        <v>18764510</v>
      </c>
      <c r="D5" s="20">
        <v>16607310</v>
      </c>
      <c r="E5" s="20">
        <v>15821700</v>
      </c>
      <c r="F5" s="20">
        <v>16707770</v>
      </c>
    </row>
    <row r="6" spans="1:7" x14ac:dyDescent="0.25">
      <c r="A6" s="11" t="s">
        <v>11</v>
      </c>
      <c r="B6" s="17">
        <v>6992680</v>
      </c>
      <c r="C6" s="17">
        <v>5530800</v>
      </c>
      <c r="D6" s="17">
        <v>8599440</v>
      </c>
      <c r="E6" s="17">
        <v>7724070</v>
      </c>
      <c r="F6" s="17">
        <v>5305620</v>
      </c>
    </row>
    <row r="7" spans="1:7" x14ac:dyDescent="0.25">
      <c r="A7" s="33" t="s">
        <v>22</v>
      </c>
      <c r="B7" s="30">
        <f>SUM(B3:B6)</f>
        <v>104705284.83800009</v>
      </c>
      <c r="C7" s="30">
        <f t="shared" ref="C7:E7" si="0">SUM(C3:C6)</f>
        <v>98192242.825000003</v>
      </c>
      <c r="D7" s="30">
        <f t="shared" si="0"/>
        <v>105564126.10600007</v>
      </c>
      <c r="E7" s="30">
        <f t="shared" si="0"/>
        <v>126799651.03200012</v>
      </c>
      <c r="F7" s="30">
        <f>SUM(F3:F6)</f>
        <v>125697519.22799991</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11</vt:i4>
      </vt:variant>
    </vt:vector>
  </HeadingPairs>
  <TitlesOfParts>
    <vt:vector size="11" baseType="lpstr">
      <vt:lpstr>Potència</vt:lpstr>
      <vt:lpstr>Produccio</vt:lpstr>
      <vt:lpstr>Produccio2_dades_OECC</vt:lpstr>
      <vt:lpstr>Power_BI</vt:lpstr>
      <vt:lpstr>Gràfics</vt:lpstr>
      <vt:lpstr>dades_FEDA</vt:lpstr>
      <vt:lpstr>comparativa BEN amb FEDA</vt:lpstr>
      <vt:lpstr>situacio_hidro</vt:lpstr>
      <vt:lpstr>situacio_FV</vt:lpstr>
      <vt:lpstr>situacio_cogen</vt:lpstr>
      <vt:lpstr>PN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Cristina Rodriguez Villanueva</dc:creator>
  <cp:lastModifiedBy>Paula Cristina Rodriguez Villanueva</cp:lastModifiedBy>
  <dcterms:created xsi:type="dcterms:W3CDTF">2026-07-10T07:26:26Z</dcterms:created>
  <dcterms:modified xsi:type="dcterms:W3CDTF">2026-09-19T15:14:32Z</dcterms:modified>
</cp:coreProperties>
</file>